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nxuan\Desktop\HO SO GUI THUONG VU HUYEN\HO SO GUI THUONG VU HUYEN\"/>
    </mc:Choice>
  </mc:AlternateContent>
  <bookViews>
    <workbookView xWindow="10308" yWindow="4068" windowWidth="10200" windowHeight="4092" activeTab="1"/>
  </bookViews>
  <sheets>
    <sheet name="DANH MUC HUYEN" sheetId="1" r:id="rId1"/>
    <sheet name="DIEN TICH" sheetId="2" r:id="rId2"/>
    <sheet name="MADALA TRUNG QH XA" sheetId="3" state="hidden" r:id="rId3"/>
  </sheets>
  <definedNames>
    <definedName name="_xlnm._FilterDatabase" localSheetId="0" hidden="1">'DANH MUC HUYEN'!$A$4:$BR$971</definedName>
    <definedName name="_xlnm.Print_Titles" localSheetId="0">'DANH MUC HUYEN'!$3:$4</definedName>
  </definedNames>
  <calcPr calcId="162913"/>
</workbook>
</file>

<file path=xl/calcChain.xml><?xml version="1.0" encoding="utf-8"?>
<calcChain xmlns="http://schemas.openxmlformats.org/spreadsheetml/2006/main">
  <c r="Z897" i="1" l="1"/>
  <c r="D897" i="1"/>
  <c r="F897" i="1"/>
  <c r="G897" i="1"/>
  <c r="E25" i="1" l="1"/>
  <c r="H25" i="1"/>
  <c r="I25" i="1"/>
  <c r="K25" i="1"/>
  <c r="L25" i="1"/>
  <c r="O25" i="1"/>
  <c r="P25" i="1"/>
  <c r="Q25" i="1"/>
  <c r="R25" i="1"/>
  <c r="S25" i="1"/>
  <c r="T25" i="1"/>
  <c r="U25" i="1"/>
  <c r="V25" i="1"/>
  <c r="W25" i="1"/>
  <c r="X25" i="1"/>
  <c r="Y25" i="1"/>
  <c r="AA25" i="1"/>
  <c r="AC25" i="1"/>
  <c r="AD25" i="1"/>
  <c r="AE25" i="1"/>
  <c r="AF25" i="1"/>
  <c r="AG25" i="1"/>
  <c r="AH25" i="1"/>
  <c r="AI25" i="1"/>
  <c r="AJ25" i="1"/>
  <c r="AK25" i="1"/>
  <c r="AL25" i="1"/>
  <c r="AM25" i="1"/>
  <c r="AN25" i="1"/>
  <c r="AO25" i="1"/>
  <c r="AP25" i="1"/>
  <c r="AQ25" i="1"/>
  <c r="AS25" i="1"/>
  <c r="AT25" i="1"/>
  <c r="AU25" i="1"/>
  <c r="AV25" i="1"/>
  <c r="AW25" i="1"/>
  <c r="AX25" i="1"/>
  <c r="AY25" i="1"/>
  <c r="AZ25" i="1"/>
  <c r="BA25" i="1"/>
  <c r="BB25" i="1"/>
  <c r="BC25" i="1"/>
  <c r="BF25" i="1"/>
  <c r="BG25" i="1"/>
  <c r="BI25" i="1"/>
  <c r="BJ693" i="1"/>
  <c r="E680" i="1"/>
  <c r="H680" i="1"/>
  <c r="I680" i="1"/>
  <c r="K680" i="1"/>
  <c r="L680" i="1"/>
  <c r="O680" i="1"/>
  <c r="P680" i="1"/>
  <c r="Q680" i="1"/>
  <c r="R680" i="1"/>
  <c r="S680" i="1"/>
  <c r="T680" i="1"/>
  <c r="U680" i="1"/>
  <c r="V680" i="1"/>
  <c r="W680" i="1"/>
  <c r="X680" i="1"/>
  <c r="Y680" i="1"/>
  <c r="Z680" i="1"/>
  <c r="AA680" i="1"/>
  <c r="AB680" i="1"/>
  <c r="AC680" i="1"/>
  <c r="AD680" i="1"/>
  <c r="AE680" i="1"/>
  <c r="AF680" i="1"/>
  <c r="AG680" i="1"/>
  <c r="AH680" i="1"/>
  <c r="AI680" i="1"/>
  <c r="AJ680" i="1"/>
  <c r="AK680" i="1"/>
  <c r="AL680" i="1"/>
  <c r="AM680" i="1"/>
  <c r="AN680" i="1"/>
  <c r="AO680" i="1"/>
  <c r="AP680" i="1"/>
  <c r="AQ680" i="1"/>
  <c r="AR680" i="1"/>
  <c r="AS680" i="1"/>
  <c r="AT680" i="1"/>
  <c r="AU680" i="1"/>
  <c r="AV680" i="1"/>
  <c r="AW680" i="1"/>
  <c r="AX680" i="1"/>
  <c r="AY680" i="1"/>
  <c r="AZ680" i="1"/>
  <c r="BA680" i="1"/>
  <c r="BB680" i="1"/>
  <c r="BC680" i="1"/>
  <c r="BF680" i="1"/>
  <c r="BG680" i="1"/>
  <c r="BH680" i="1"/>
  <c r="D680" i="1"/>
  <c r="D267" i="1"/>
  <c r="BM293" i="1" l="1"/>
  <c r="BM403" i="1"/>
  <c r="BM404" i="1"/>
  <c r="BM405" i="1"/>
  <c r="BM406" i="1"/>
  <c r="BM698" i="1"/>
  <c r="BM699" i="1"/>
  <c r="BM700" i="1"/>
  <c r="BM701" i="1"/>
  <c r="BM702" i="1"/>
  <c r="BM703" i="1"/>
  <c r="BM704" i="1"/>
  <c r="BM705" i="1"/>
  <c r="BM706" i="1"/>
  <c r="BM707" i="1"/>
  <c r="BM708" i="1"/>
  <c r="BM709" i="1"/>
  <c r="BM710" i="1"/>
  <c r="BM711" i="1"/>
  <c r="BM712" i="1"/>
  <c r="BM713" i="1"/>
  <c r="BM714" i="1"/>
  <c r="BM715" i="1"/>
  <c r="BM716" i="1"/>
  <c r="BM722" i="1"/>
  <c r="BM723" i="1"/>
  <c r="BM724" i="1"/>
  <c r="BM725" i="1"/>
  <c r="BM726" i="1"/>
  <c r="BM727" i="1"/>
  <c r="BM730" i="1"/>
  <c r="BM731" i="1"/>
  <c r="BM732" i="1"/>
  <c r="BM733" i="1"/>
  <c r="BM736" i="1"/>
  <c r="BM737" i="1"/>
  <c r="BM738" i="1"/>
  <c r="BM739" i="1"/>
  <c r="BM755" i="1"/>
  <c r="BM756" i="1"/>
  <c r="BM757" i="1"/>
  <c r="BM758" i="1"/>
  <c r="BM759" i="1"/>
  <c r="BM760" i="1"/>
  <c r="BM761" i="1"/>
  <c r="BM762" i="1"/>
  <c r="BM763" i="1"/>
  <c r="BM765" i="1"/>
  <c r="BM766" i="1"/>
  <c r="BM767" i="1"/>
  <c r="BM768" i="1"/>
  <c r="BM769" i="1"/>
  <c r="BM770" i="1"/>
  <c r="BM771" i="1"/>
  <c r="BM772" i="1"/>
  <c r="BM773" i="1"/>
  <c r="BM774" i="1"/>
  <c r="BM775" i="1"/>
  <c r="BM776" i="1"/>
  <c r="BM777" i="1"/>
  <c r="BM778" i="1"/>
  <c r="BM779" i="1"/>
  <c r="BM780" i="1"/>
  <c r="BM781" i="1"/>
  <c r="BM782" i="1"/>
  <c r="BM783" i="1"/>
  <c r="BM784" i="1"/>
  <c r="BM785" i="1"/>
  <c r="BM786" i="1"/>
  <c r="BM787" i="1"/>
  <c r="BM788" i="1"/>
  <c r="BM789" i="1"/>
  <c r="BM790" i="1"/>
  <c r="BM791" i="1"/>
  <c r="BM792" i="1"/>
  <c r="BM793" i="1"/>
  <c r="BM794" i="1"/>
  <c r="BM795" i="1"/>
  <c r="BM796" i="1"/>
  <c r="BM797" i="1"/>
  <c r="BM798" i="1"/>
  <c r="BM799" i="1"/>
  <c r="BM800" i="1"/>
  <c r="BM801" i="1"/>
  <c r="BM802" i="1"/>
  <c r="BM804" i="1"/>
  <c r="BM805" i="1"/>
  <c r="BM806" i="1"/>
  <c r="BM807" i="1"/>
  <c r="BM808" i="1"/>
  <c r="BM810" i="1"/>
  <c r="BM812" i="1"/>
  <c r="BM813" i="1"/>
  <c r="BM814" i="1"/>
  <c r="BM816" i="1"/>
  <c r="BM817" i="1"/>
  <c r="BM818" i="1"/>
  <c r="BM821" i="1"/>
  <c r="BM822" i="1"/>
  <c r="BM824" i="1"/>
  <c r="BM825" i="1"/>
  <c r="BM826" i="1"/>
  <c r="BM827" i="1"/>
  <c r="BM828" i="1"/>
  <c r="BM829" i="1"/>
  <c r="BM830" i="1"/>
  <c r="BM833" i="1"/>
  <c r="BM834" i="1"/>
  <c r="BM835" i="1"/>
  <c r="BM837" i="1"/>
  <c r="BM838" i="1"/>
  <c r="BM874" i="1"/>
  <c r="BM893" i="1"/>
  <c r="BM903" i="1"/>
  <c r="BM924" i="1"/>
  <c r="BM925" i="1"/>
  <c r="BM926" i="1"/>
  <c r="BM927" i="1"/>
  <c r="BM928" i="1"/>
  <c r="BM929" i="1"/>
  <c r="BM930" i="1"/>
  <c r="BM931" i="1"/>
  <c r="BM932" i="1"/>
  <c r="BM933" i="1"/>
  <c r="BM697" i="1"/>
  <c r="BM696" i="1"/>
  <c r="E694" i="1"/>
  <c r="H694" i="1"/>
  <c r="I694" i="1"/>
  <c r="K694" i="1"/>
  <c r="L694" i="1"/>
  <c r="O694" i="1"/>
  <c r="P694" i="1"/>
  <c r="Q694" i="1"/>
  <c r="R694" i="1"/>
  <c r="S694" i="1"/>
  <c r="T694" i="1"/>
  <c r="U694" i="1"/>
  <c r="V694" i="1"/>
  <c r="W694" i="1"/>
  <c r="Y694" i="1"/>
  <c r="AC694" i="1"/>
  <c r="AD694" i="1"/>
  <c r="AE694" i="1"/>
  <c r="AF694" i="1"/>
  <c r="AG694" i="1"/>
  <c r="AH694" i="1"/>
  <c r="AI694" i="1"/>
  <c r="AJ694" i="1"/>
  <c r="AK694" i="1"/>
  <c r="AL694" i="1"/>
  <c r="AM694" i="1"/>
  <c r="AN694" i="1"/>
  <c r="AP694" i="1"/>
  <c r="AR694" i="1"/>
  <c r="AS694" i="1"/>
  <c r="AT694" i="1"/>
  <c r="AU694" i="1"/>
  <c r="AV694" i="1"/>
  <c r="AW694" i="1"/>
  <c r="AX694" i="1"/>
  <c r="AY694" i="1"/>
  <c r="AZ694" i="1"/>
  <c r="BA694" i="1"/>
  <c r="BB694" i="1"/>
  <c r="BC694" i="1"/>
  <c r="BF694" i="1"/>
  <c r="BG694" i="1"/>
  <c r="BI694" i="1"/>
  <c r="AQ448" i="1"/>
  <c r="AQ444" i="1"/>
  <c r="AQ440" i="1"/>
  <c r="AQ456" i="1"/>
  <c r="E161" i="1" l="1"/>
  <c r="I161" i="1"/>
  <c r="K161" i="1"/>
  <c r="L161" i="1"/>
  <c r="M161" i="1"/>
  <c r="O161" i="1"/>
  <c r="P161" i="1"/>
  <c r="BK161" i="1"/>
  <c r="BE458" i="1"/>
  <c r="J450" i="1" l="1"/>
  <c r="BM450" i="1" s="1"/>
  <c r="J451" i="1"/>
  <c r="J452" i="1"/>
  <c r="BM452" i="1" s="1"/>
  <c r="J453" i="1"/>
  <c r="BM453" i="1" s="1"/>
  <c r="J454" i="1"/>
  <c r="BM454" i="1" s="1"/>
  <c r="J449" i="1"/>
  <c r="BM449" i="1" s="1"/>
  <c r="G439" i="1"/>
  <c r="H439" i="1"/>
  <c r="I439" i="1"/>
  <c r="K439" i="1"/>
  <c r="L439" i="1"/>
  <c r="O439" i="1"/>
  <c r="P439" i="1"/>
  <c r="Q439" i="1"/>
  <c r="R439" i="1"/>
  <c r="S439" i="1"/>
  <c r="T439" i="1"/>
  <c r="U439" i="1"/>
  <c r="V439" i="1"/>
  <c r="W439" i="1"/>
  <c r="X439" i="1"/>
  <c r="Y439" i="1"/>
  <c r="Z439" i="1"/>
  <c r="AA439" i="1"/>
  <c r="AB439" i="1"/>
  <c r="AC439" i="1"/>
  <c r="AD439" i="1"/>
  <c r="AE439" i="1"/>
  <c r="AF439" i="1"/>
  <c r="AG439" i="1"/>
  <c r="AH439" i="1"/>
  <c r="AI439" i="1"/>
  <c r="AJ439" i="1"/>
  <c r="AK439" i="1"/>
  <c r="AL439" i="1"/>
  <c r="AM439" i="1"/>
  <c r="AN439" i="1"/>
  <c r="AO439" i="1"/>
  <c r="AP439" i="1"/>
  <c r="AQ439" i="1"/>
  <c r="AR439" i="1"/>
  <c r="AS439" i="1"/>
  <c r="AT439" i="1"/>
  <c r="AU439" i="1"/>
  <c r="AV439" i="1"/>
  <c r="AW439" i="1"/>
  <c r="AX439" i="1"/>
  <c r="AY439" i="1"/>
  <c r="AZ439" i="1"/>
  <c r="BA439" i="1"/>
  <c r="BB439" i="1"/>
  <c r="BC439" i="1"/>
  <c r="BD439" i="1"/>
  <c r="BF439" i="1"/>
  <c r="BG439" i="1"/>
  <c r="BH439" i="1"/>
  <c r="BI439" i="1"/>
  <c r="R176" i="1"/>
  <c r="R161" i="1" s="1"/>
  <c r="S176" i="1"/>
  <c r="S161" i="1" s="1"/>
  <c r="T176" i="1"/>
  <c r="T161" i="1" s="1"/>
  <c r="U176" i="1"/>
  <c r="U161" i="1" s="1"/>
  <c r="V176" i="1"/>
  <c r="V161" i="1" s="1"/>
  <c r="W176" i="1"/>
  <c r="X176" i="1"/>
  <c r="Y176" i="1"/>
  <c r="Z176" i="1"/>
  <c r="AA176" i="1"/>
  <c r="AB176" i="1"/>
  <c r="AC176" i="1"/>
  <c r="AD176" i="1"/>
  <c r="AE176" i="1"/>
  <c r="AF176" i="1"/>
  <c r="AG176" i="1"/>
  <c r="AH176" i="1"/>
  <c r="AI176" i="1"/>
  <c r="AJ176" i="1"/>
  <c r="AK176" i="1"/>
  <c r="AL176" i="1"/>
  <c r="AM176" i="1"/>
  <c r="AN176" i="1"/>
  <c r="AO176" i="1"/>
  <c r="AP176" i="1"/>
  <c r="AQ176" i="1"/>
  <c r="AR176" i="1"/>
  <c r="AS176" i="1"/>
  <c r="AT176" i="1"/>
  <c r="AU176" i="1"/>
  <c r="AV176" i="1"/>
  <c r="AW176" i="1"/>
  <c r="AX176" i="1"/>
  <c r="AY176" i="1"/>
  <c r="AZ176" i="1"/>
  <c r="BA176" i="1"/>
  <c r="BB176" i="1"/>
  <c r="BC176" i="1"/>
  <c r="BD176" i="1"/>
  <c r="BF176" i="1"/>
  <c r="BG176" i="1"/>
  <c r="BH176" i="1"/>
  <c r="BI176" i="1"/>
  <c r="BI161" i="1" s="1"/>
  <c r="Q176" i="1"/>
  <c r="Q161" i="1" s="1"/>
  <c r="Q550" i="1"/>
  <c r="R550" i="1"/>
  <c r="S550" i="1"/>
  <c r="S549" i="1" s="1"/>
  <c r="T550" i="1"/>
  <c r="T549" i="1" s="1"/>
  <c r="U550" i="1"/>
  <c r="U549" i="1" s="1"/>
  <c r="V550" i="1"/>
  <c r="V549" i="1" s="1"/>
  <c r="W550" i="1"/>
  <c r="W549" i="1" s="1"/>
  <c r="X550" i="1"/>
  <c r="Y550" i="1"/>
  <c r="Y549" i="1" s="1"/>
  <c r="Z550" i="1"/>
  <c r="Z549" i="1" s="1"/>
  <c r="AA550" i="1"/>
  <c r="AA549" i="1" s="1"/>
  <c r="AB550" i="1"/>
  <c r="AB549" i="1" s="1"/>
  <c r="AC550" i="1"/>
  <c r="AC549" i="1" s="1"/>
  <c r="AD550" i="1"/>
  <c r="AD549" i="1" s="1"/>
  <c r="AE550" i="1"/>
  <c r="AE549" i="1" s="1"/>
  <c r="AF550" i="1"/>
  <c r="AF549" i="1" s="1"/>
  <c r="AG550" i="1"/>
  <c r="AG549" i="1" s="1"/>
  <c r="AH550" i="1"/>
  <c r="AH549" i="1" s="1"/>
  <c r="AI550" i="1"/>
  <c r="AI549" i="1" s="1"/>
  <c r="AJ550" i="1"/>
  <c r="AJ549" i="1" s="1"/>
  <c r="AK550" i="1"/>
  <c r="AK549" i="1" s="1"/>
  <c r="AL550" i="1"/>
  <c r="AL549" i="1" s="1"/>
  <c r="AM550" i="1"/>
  <c r="AM549" i="1" s="1"/>
  <c r="AN550" i="1"/>
  <c r="AN549" i="1" s="1"/>
  <c r="AO550" i="1"/>
  <c r="AO549" i="1" s="1"/>
  <c r="AP550" i="1"/>
  <c r="AP549" i="1" s="1"/>
  <c r="AQ550" i="1"/>
  <c r="AQ549" i="1" s="1"/>
  <c r="AR550" i="1"/>
  <c r="AR549" i="1" s="1"/>
  <c r="AS550" i="1"/>
  <c r="AS549" i="1" s="1"/>
  <c r="AT550" i="1"/>
  <c r="AT549" i="1" s="1"/>
  <c r="AU550" i="1"/>
  <c r="AU549" i="1" s="1"/>
  <c r="AV550" i="1"/>
  <c r="AV549" i="1" s="1"/>
  <c r="AW550" i="1"/>
  <c r="AW549" i="1" s="1"/>
  <c r="AX550" i="1"/>
  <c r="AX549" i="1" s="1"/>
  <c r="AY550" i="1"/>
  <c r="AY549" i="1" s="1"/>
  <c r="AZ550" i="1"/>
  <c r="AZ549" i="1" s="1"/>
  <c r="BA550" i="1"/>
  <c r="BA549" i="1" s="1"/>
  <c r="BB550" i="1"/>
  <c r="BB549" i="1" s="1"/>
  <c r="BC550" i="1"/>
  <c r="BC549" i="1" s="1"/>
  <c r="BD550" i="1"/>
  <c r="BD549" i="1" s="1"/>
  <c r="BE550" i="1"/>
  <c r="BE549" i="1" s="1"/>
  <c r="BF550" i="1"/>
  <c r="BF549" i="1" s="1"/>
  <c r="BG550" i="1"/>
  <c r="BG549" i="1" s="1"/>
  <c r="BH550" i="1"/>
  <c r="BH549" i="1" s="1"/>
  <c r="BI550" i="1"/>
  <c r="BI549" i="1" s="1"/>
  <c r="BJ550" i="1"/>
  <c r="BK550" i="1"/>
  <c r="BK549" i="1" s="1"/>
  <c r="E549" i="1"/>
  <c r="F549" i="1"/>
  <c r="G549" i="1"/>
  <c r="H549" i="1"/>
  <c r="I549" i="1"/>
  <c r="J549" i="1"/>
  <c r="K549" i="1"/>
  <c r="L549" i="1"/>
  <c r="O549" i="1"/>
  <c r="Q549" i="1"/>
  <c r="R549" i="1"/>
  <c r="BM304" i="1"/>
  <c r="BM305" i="1"/>
  <c r="BM306" i="1"/>
  <c r="BM307" i="1"/>
  <c r="BM309" i="1"/>
  <c r="BM310" i="1"/>
  <c r="BM311" i="1"/>
  <c r="BM312" i="1"/>
  <c r="BM313" i="1"/>
  <c r="BM314" i="1"/>
  <c r="BM315" i="1"/>
  <c r="BM316" i="1"/>
  <c r="BM318" i="1"/>
  <c r="BM319"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1" i="1"/>
  <c r="BM382" i="1"/>
  <c r="BM383" i="1"/>
  <c r="BM384" i="1"/>
  <c r="BM385" i="1"/>
  <c r="BM386" i="1"/>
  <c r="BM387" i="1"/>
  <c r="BM388" i="1"/>
  <c r="BM389" i="1"/>
  <c r="BM390" i="1"/>
  <c r="BM391" i="1"/>
  <c r="BM392" i="1"/>
  <c r="BM393" i="1"/>
  <c r="BM394" i="1"/>
  <c r="BM395" i="1"/>
  <c r="BM396" i="1"/>
  <c r="BM397" i="1"/>
  <c r="BM398" i="1"/>
  <c r="BM401" i="1"/>
  <c r="BM407" i="1"/>
  <c r="BM411" i="1"/>
  <c r="BM414" i="1"/>
  <c r="BM415" i="1"/>
  <c r="BM422" i="1"/>
  <c r="BM423" i="1"/>
  <c r="BM424" i="1"/>
  <c r="BM425" i="1"/>
  <c r="BM426" i="1"/>
  <c r="BM427" i="1"/>
  <c r="BM428" i="1"/>
  <c r="BM429" i="1"/>
  <c r="BM430" i="1"/>
  <c r="BM431" i="1"/>
  <c r="BM432" i="1"/>
  <c r="BM433" i="1"/>
  <c r="BM434" i="1"/>
  <c r="BM435" i="1"/>
  <c r="BM436" i="1"/>
  <c r="BM437" i="1"/>
  <c r="BM438" i="1"/>
  <c r="BM440" i="1"/>
  <c r="BM441" i="1"/>
  <c r="BM442" i="1"/>
  <c r="BM443" i="1"/>
  <c r="BM444" i="1"/>
  <c r="BM445" i="1"/>
  <c r="BM446" i="1"/>
  <c r="BM447" i="1"/>
  <c r="BM448" i="1"/>
  <c r="BM451" i="1"/>
  <c r="BM455" i="1"/>
  <c r="BM456" i="1"/>
  <c r="BM457" i="1"/>
  <c r="BM458" i="1"/>
  <c r="BM459" i="1"/>
  <c r="BM462" i="1"/>
  <c r="BM463" i="1"/>
  <c r="BM464" i="1"/>
  <c r="BM465" i="1"/>
  <c r="BM466" i="1"/>
  <c r="BM467" i="1"/>
  <c r="BM468" i="1"/>
  <c r="BM469" i="1"/>
  <c r="BM470" i="1"/>
  <c r="BM471" i="1"/>
  <c r="BM472" i="1"/>
  <c r="BM473" i="1"/>
  <c r="BM474" i="1"/>
  <c r="BM475" i="1"/>
  <c r="BM476" i="1"/>
  <c r="BM478" i="1"/>
  <c r="BM480" i="1"/>
  <c r="BM481" i="1"/>
  <c r="BM482" i="1"/>
  <c r="BM483" i="1"/>
  <c r="BM484" i="1"/>
  <c r="BM485" i="1"/>
  <c r="BM487" i="1"/>
  <c r="BM488" i="1"/>
  <c r="BM490" i="1"/>
  <c r="BM491" i="1"/>
  <c r="BM492" i="1"/>
  <c r="BM494" i="1"/>
  <c r="BM495" i="1"/>
  <c r="BM497" i="1"/>
  <c r="BM499" i="1"/>
  <c r="BM500" i="1"/>
  <c r="BM501" i="1"/>
  <c r="BM504" i="1"/>
  <c r="BM505" i="1"/>
  <c r="BM506" i="1"/>
  <c r="BM507" i="1"/>
  <c r="BM508" i="1"/>
  <c r="BM509" i="1"/>
  <c r="BM510" i="1"/>
  <c r="BM511" i="1"/>
  <c r="BM512" i="1"/>
  <c r="BM513" i="1"/>
  <c r="BM514" i="1"/>
  <c r="BM515" i="1"/>
  <c r="BM516" i="1"/>
  <c r="BM517" i="1"/>
  <c r="BM518" i="1"/>
  <c r="BM519" i="1"/>
  <c r="BM520" i="1"/>
  <c r="BM521" i="1"/>
  <c r="BM522" i="1"/>
  <c r="BM523" i="1"/>
  <c r="BM524" i="1"/>
  <c r="BM525" i="1"/>
  <c r="BM534" i="1"/>
  <c r="BM535" i="1"/>
  <c r="BM536" i="1"/>
  <c r="BM537" i="1"/>
  <c r="BM538" i="1"/>
  <c r="BM539" i="1"/>
  <c r="BM541" i="1"/>
  <c r="BM542" i="1"/>
  <c r="BM543" i="1"/>
  <c r="BM544" i="1"/>
  <c r="BM547" i="1"/>
  <c r="BM548" i="1"/>
  <c r="BM552" i="1"/>
  <c r="BM553" i="1"/>
  <c r="BM274" i="1"/>
  <c r="BM275" i="1"/>
  <c r="BM279" i="1"/>
  <c r="BM280" i="1"/>
  <c r="BM281" i="1"/>
  <c r="BM282" i="1"/>
  <c r="BM283" i="1"/>
  <c r="BM286" i="1"/>
  <c r="BM287" i="1"/>
  <c r="BM288" i="1"/>
  <c r="BM289" i="1"/>
  <c r="BM291" i="1"/>
  <c r="BM292" i="1"/>
  <c r="BM294" i="1"/>
  <c r="BM295" i="1"/>
  <c r="BM296" i="1"/>
  <c r="BM298" i="1"/>
  <c r="BM302" i="1"/>
  <c r="BM303" i="1"/>
  <c r="BM271" i="1"/>
  <c r="G267" i="1"/>
  <c r="H267" i="1"/>
  <c r="I267" i="1"/>
  <c r="K267" i="1"/>
  <c r="L267" i="1"/>
  <c r="M267" i="1"/>
  <c r="O267" i="1"/>
  <c r="P267" i="1"/>
  <c r="Q267" i="1"/>
  <c r="R267" i="1"/>
  <c r="S267" i="1"/>
  <c r="T267" i="1"/>
  <c r="U267" i="1"/>
  <c r="V267" i="1"/>
  <c r="W267" i="1"/>
  <c r="X267" i="1"/>
  <c r="Y267" i="1"/>
  <c r="Z267" i="1"/>
  <c r="AB267" i="1"/>
  <c r="AC267" i="1"/>
  <c r="AD267" i="1"/>
  <c r="AE267" i="1"/>
  <c r="AF267" i="1"/>
  <c r="AG267" i="1"/>
  <c r="AH267" i="1"/>
  <c r="AI267" i="1"/>
  <c r="AJ267" i="1"/>
  <c r="AK267" i="1"/>
  <c r="AL267" i="1"/>
  <c r="AM267" i="1"/>
  <c r="AN267" i="1"/>
  <c r="AO267" i="1"/>
  <c r="AP267" i="1"/>
  <c r="AQ267" i="1"/>
  <c r="AR267" i="1"/>
  <c r="AS267" i="1"/>
  <c r="AT267" i="1"/>
  <c r="AU267" i="1"/>
  <c r="AV267" i="1"/>
  <c r="AW267" i="1"/>
  <c r="AX267" i="1"/>
  <c r="AY267" i="1"/>
  <c r="AZ267" i="1"/>
  <c r="BA267" i="1"/>
  <c r="BB267" i="1"/>
  <c r="BC267" i="1"/>
  <c r="BD267" i="1"/>
  <c r="BE267" i="1"/>
  <c r="BF267" i="1"/>
  <c r="BG267" i="1"/>
  <c r="BI267" i="1"/>
  <c r="BJ472" i="1"/>
  <c r="BJ440" i="1"/>
  <c r="BJ444" i="1"/>
  <c r="BJ448" i="1"/>
  <c r="BJ414" i="1"/>
  <c r="BJ383" i="1"/>
  <c r="D384" i="1"/>
  <c r="J380" i="1"/>
  <c r="BM380" i="1" s="1"/>
  <c r="BJ381" i="1"/>
  <c r="BJ380" i="1"/>
  <c r="J320" i="1"/>
  <c r="BM320" i="1" s="1"/>
  <c r="J317" i="1"/>
  <c r="BM317" i="1" s="1"/>
  <c r="J297" i="1"/>
  <c r="BM297" i="1" s="1"/>
  <c r="E297" i="1"/>
  <c r="E299" i="1" s="1"/>
  <c r="F299" i="1"/>
  <c r="J299" i="1" s="1"/>
  <c r="BM299" i="1" s="1"/>
  <c r="BM550" i="1" l="1"/>
  <c r="X549" i="1"/>
  <c r="BM549" i="1" s="1"/>
  <c r="J273" i="1" l="1"/>
  <c r="J272" i="1"/>
  <c r="D273" i="1"/>
  <c r="J270" i="1"/>
  <c r="J269" i="1"/>
  <c r="BD269" i="1" l="1"/>
  <c r="BM269" i="1" s="1"/>
  <c r="BE273" i="1"/>
  <c r="BM273" i="1" s="1"/>
  <c r="BD270" i="1"/>
  <c r="BM270" i="1" s="1"/>
  <c r="BE272" i="1"/>
  <c r="BM272" i="1" s="1"/>
  <c r="Z26" i="1"/>
  <c r="Z25" i="1" s="1"/>
  <c r="X175" i="1" l="1"/>
  <c r="BE178" i="1" l="1"/>
  <c r="BE176" i="1" s="1"/>
  <c r="BM176" i="1" s="1"/>
  <c r="J153" i="1" l="1"/>
  <c r="J154" i="1"/>
  <c r="G718" i="1" l="1"/>
  <c r="E112" i="1"/>
  <c r="F112" i="1"/>
  <c r="G112" i="1"/>
  <c r="H112" i="1"/>
  <c r="I112" i="1"/>
  <c r="K112" i="1"/>
  <c r="L112" i="1"/>
  <c r="O112" i="1"/>
  <c r="P112" i="1"/>
  <c r="Q112" i="1"/>
  <c r="R112" i="1"/>
  <c r="S112" i="1"/>
  <c r="T112" i="1"/>
  <c r="U112" i="1"/>
  <c r="V112" i="1"/>
  <c r="W112" i="1"/>
  <c r="X112" i="1"/>
  <c r="Y112" i="1"/>
  <c r="Z112" i="1"/>
  <c r="AA112" i="1"/>
  <c r="AB112" i="1"/>
  <c r="AC112" i="1"/>
  <c r="AD112" i="1"/>
  <c r="AE112" i="1"/>
  <c r="AF112" i="1"/>
  <c r="AG112"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BH112" i="1"/>
  <c r="BI112" i="1"/>
  <c r="D112" i="1"/>
  <c r="BJ124" i="1"/>
  <c r="BJ123" i="1" l="1"/>
  <c r="BM36" i="1" l="1"/>
  <c r="J764" i="1" l="1"/>
  <c r="BM764" i="1" s="1"/>
  <c r="BJ764" i="1"/>
  <c r="J823" i="1" l="1"/>
  <c r="BM823" i="1" s="1"/>
  <c r="G823" i="1"/>
  <c r="F823" i="1"/>
  <c r="D823" i="1"/>
  <c r="Z740" i="1"/>
  <c r="BE740" i="1"/>
  <c r="J740" i="1"/>
  <c r="BM740" i="1" s="1"/>
  <c r="F740" i="1"/>
  <c r="D740" i="1"/>
  <c r="BE735" i="1"/>
  <c r="J735" i="1"/>
  <c r="F735" i="1"/>
  <c r="D735" i="1"/>
  <c r="G223" i="1"/>
  <c r="F223" i="1"/>
  <c r="D223" i="1"/>
  <c r="G203" i="1" l="1"/>
  <c r="D203" i="1"/>
  <c r="X188" i="1"/>
  <c r="J188" i="1"/>
  <c r="F188" i="1"/>
  <c r="D188" i="1"/>
  <c r="G95" i="1"/>
  <c r="F95" i="1"/>
  <c r="D95" i="1"/>
  <c r="J91" i="1"/>
  <c r="BE91" i="1"/>
  <c r="F91" i="1"/>
  <c r="D91" i="1"/>
  <c r="Z846" i="1" l="1"/>
  <c r="F846" i="1"/>
  <c r="D846" i="1"/>
  <c r="X210" i="1"/>
  <c r="F210" i="1"/>
  <c r="D210" i="1"/>
  <c r="BI971" i="1" l="1"/>
  <c r="AQ877" i="1"/>
  <c r="J877" i="1"/>
  <c r="BM877" i="1" s="1"/>
  <c r="G877" i="1"/>
  <c r="D877" i="1"/>
  <c r="J876" i="1" l="1"/>
  <c r="BM876" i="1" s="1"/>
  <c r="D549" i="1" l="1"/>
  <c r="J570" i="1" l="1"/>
  <c r="P568" i="1" l="1"/>
  <c r="P550" i="1" s="1"/>
  <c r="P549" i="1" s="1"/>
  <c r="J565" i="1" l="1"/>
  <c r="J564" i="1" l="1"/>
  <c r="J563" i="1" l="1"/>
  <c r="J562" i="1" l="1"/>
  <c r="J559" i="1" l="1"/>
  <c r="H559" i="1"/>
  <c r="F557" i="1" l="1"/>
  <c r="J555" i="1" l="1"/>
  <c r="BM555" i="1" s="1"/>
  <c r="J554" i="1" l="1"/>
  <c r="BM554" i="1" s="1"/>
  <c r="J551" i="1" l="1"/>
  <c r="BM551" i="1" s="1"/>
  <c r="BJ690" i="1" l="1"/>
  <c r="BJ46" i="1" l="1"/>
  <c r="BJ47" i="1"/>
  <c r="BJ48" i="1"/>
  <c r="BJ49" i="1"/>
  <c r="BJ50" i="1"/>
  <c r="BJ51" i="1"/>
  <c r="BJ715" i="1" l="1"/>
  <c r="BJ714" i="1"/>
  <c r="BJ713" i="1"/>
  <c r="BJ712" i="1"/>
  <c r="BJ711" i="1" l="1"/>
  <c r="BJ710" i="1" l="1"/>
  <c r="BJ709" i="1"/>
  <c r="BJ708" i="1" l="1"/>
  <c r="BJ707" i="1"/>
  <c r="BJ706" i="1"/>
  <c r="BJ705" i="1"/>
  <c r="BJ704" i="1" l="1"/>
  <c r="BJ703" i="1" l="1"/>
  <c r="BJ702" i="1"/>
  <c r="BJ701" i="1" l="1"/>
  <c r="BJ700" i="1" l="1"/>
  <c r="BJ699" i="1" l="1"/>
  <c r="BJ698" i="1" l="1"/>
  <c r="BJ697" i="1" l="1"/>
  <c r="BJ696" i="1"/>
  <c r="E579" i="1" l="1"/>
  <c r="E578" i="1" s="1"/>
  <c r="F579" i="1"/>
  <c r="F578" i="1" s="1"/>
  <c r="G579" i="1"/>
  <c r="G578" i="1" s="1"/>
  <c r="I579" i="1"/>
  <c r="I578" i="1" s="1"/>
  <c r="Q579" i="1"/>
  <c r="Q578" i="1" s="1"/>
  <c r="R579" i="1"/>
  <c r="R578" i="1" s="1"/>
  <c r="S579" i="1"/>
  <c r="T579" i="1"/>
  <c r="T578" i="1" s="1"/>
  <c r="U579" i="1"/>
  <c r="U578" i="1" s="1"/>
  <c r="V579" i="1"/>
  <c r="V578" i="1" s="1"/>
  <c r="W579" i="1"/>
  <c r="W578" i="1" s="1"/>
  <c r="X579" i="1"/>
  <c r="X578" i="1" s="1"/>
  <c r="Y579" i="1"/>
  <c r="Y578" i="1" s="1"/>
  <c r="Z579" i="1"/>
  <c r="Z578" i="1" s="1"/>
  <c r="AA579" i="1"/>
  <c r="AA578" i="1" s="1"/>
  <c r="AB579" i="1"/>
  <c r="AB578" i="1" s="1"/>
  <c r="AC579" i="1"/>
  <c r="AC578" i="1" s="1"/>
  <c r="AD579" i="1"/>
  <c r="AD578" i="1" s="1"/>
  <c r="AE579" i="1"/>
  <c r="AE578" i="1" s="1"/>
  <c r="AF579" i="1"/>
  <c r="AF578" i="1" s="1"/>
  <c r="AG579" i="1"/>
  <c r="AG578" i="1" s="1"/>
  <c r="AH579" i="1"/>
  <c r="AH578" i="1" s="1"/>
  <c r="AI579" i="1"/>
  <c r="AI578" i="1" s="1"/>
  <c r="AJ579" i="1"/>
  <c r="AJ578" i="1" s="1"/>
  <c r="AK579" i="1"/>
  <c r="AK578" i="1" s="1"/>
  <c r="AL579" i="1"/>
  <c r="AL578" i="1" s="1"/>
  <c r="AM579" i="1"/>
  <c r="AM578" i="1" s="1"/>
  <c r="AN579" i="1"/>
  <c r="AN578" i="1" s="1"/>
  <c r="AO579" i="1"/>
  <c r="AO578" i="1" s="1"/>
  <c r="AP579" i="1"/>
  <c r="AP578" i="1" s="1"/>
  <c r="AQ579" i="1"/>
  <c r="AQ578" i="1" s="1"/>
  <c r="AR579" i="1"/>
  <c r="AR578" i="1" s="1"/>
  <c r="AS579" i="1"/>
  <c r="AS578" i="1" s="1"/>
  <c r="AT579" i="1"/>
  <c r="AT578" i="1" s="1"/>
  <c r="AU579" i="1"/>
  <c r="AU578" i="1" s="1"/>
  <c r="AV579" i="1"/>
  <c r="AV578" i="1" s="1"/>
  <c r="AW579" i="1"/>
  <c r="AW578" i="1" s="1"/>
  <c r="AX579" i="1"/>
  <c r="AX578" i="1" s="1"/>
  <c r="AY579" i="1"/>
  <c r="AY578" i="1" s="1"/>
  <c r="AZ579" i="1"/>
  <c r="AZ578" i="1" s="1"/>
  <c r="BA579" i="1"/>
  <c r="BA578" i="1" s="1"/>
  <c r="BB579" i="1"/>
  <c r="BB578" i="1" s="1"/>
  <c r="BC579" i="1"/>
  <c r="BC578" i="1" s="1"/>
  <c r="BD579" i="1"/>
  <c r="BD578" i="1" s="1"/>
  <c r="BE579" i="1"/>
  <c r="BE578" i="1" s="1"/>
  <c r="BF579" i="1"/>
  <c r="BF578" i="1" s="1"/>
  <c r="BG579" i="1"/>
  <c r="BG578" i="1" s="1"/>
  <c r="BH579" i="1"/>
  <c r="BH578" i="1" s="1"/>
  <c r="BI579" i="1"/>
  <c r="BI578" i="1" s="1"/>
  <c r="D579" i="1"/>
  <c r="D578" i="1" s="1"/>
  <c r="S578" i="1"/>
  <c r="J600" i="1"/>
  <c r="J599" i="1" l="1"/>
  <c r="P597" i="1" l="1"/>
  <c r="P579" i="1" s="1"/>
  <c r="P578" i="1" s="1"/>
  <c r="J594" i="1" l="1"/>
  <c r="J601" i="1"/>
  <c r="J593" i="1" l="1"/>
  <c r="J592" i="1" l="1"/>
  <c r="J591" i="1" l="1"/>
  <c r="J589" i="1" l="1"/>
  <c r="J588" i="1" l="1"/>
  <c r="J587" i="1" l="1"/>
  <c r="H587" i="1"/>
  <c r="H579" i="1" s="1"/>
  <c r="H578" i="1" s="1"/>
  <c r="J584" i="1" l="1"/>
  <c r="J583" i="1" l="1"/>
  <c r="J580" i="1" l="1"/>
  <c r="J579" i="1" s="1"/>
  <c r="BJ162" i="1" l="1"/>
  <c r="BJ163" i="1"/>
  <c r="BJ164" i="1"/>
  <c r="BJ165" i="1"/>
  <c r="BJ166" i="1"/>
  <c r="BJ167" i="1"/>
  <c r="BJ170" i="1"/>
  <c r="BJ171" i="1"/>
  <c r="BJ172" i="1"/>
  <c r="BJ173" i="1"/>
  <c r="BE290" i="1" l="1"/>
  <c r="AE290" i="1"/>
  <c r="AB290" i="1"/>
  <c r="G290" i="1"/>
  <c r="F290" i="1"/>
  <c r="D290" i="1"/>
  <c r="J290" i="1" l="1"/>
  <c r="BM290" i="1" s="1"/>
  <c r="J285" i="1"/>
  <c r="BM285" i="1" s="1"/>
  <c r="F285" i="1"/>
  <c r="D285" i="1"/>
  <c r="J278" i="1"/>
  <c r="BM278" i="1" s="1"/>
  <c r="G278" i="1"/>
  <c r="F278" i="1"/>
  <c r="D278" i="1"/>
  <c r="J284" i="1" l="1"/>
  <c r="BM284" i="1" s="1"/>
  <c r="AE277" i="1"/>
  <c r="J277" i="1" s="1"/>
  <c r="BM277" i="1" s="1"/>
  <c r="G277" i="1"/>
  <c r="BI277" i="1" l="1"/>
  <c r="J178" i="1"/>
  <c r="J177" i="1"/>
  <c r="Y179" i="1"/>
  <c r="Y161" i="1" s="1"/>
  <c r="Z179" i="1"/>
  <c r="AA179" i="1"/>
  <c r="AB179" i="1"/>
  <c r="AC179" i="1"/>
  <c r="AC161" i="1" s="1"/>
  <c r="AD179" i="1"/>
  <c r="AD161" i="1" s="1"/>
  <c r="AE179" i="1"/>
  <c r="AE161" i="1" s="1"/>
  <c r="AF179" i="1"/>
  <c r="AF161" i="1" s="1"/>
  <c r="AG179" i="1"/>
  <c r="AG161" i="1" s="1"/>
  <c r="AH179" i="1"/>
  <c r="AH161" i="1" s="1"/>
  <c r="AI179" i="1"/>
  <c r="AI161" i="1" s="1"/>
  <c r="AJ179" i="1"/>
  <c r="AJ161" i="1" s="1"/>
  <c r="AK179" i="1"/>
  <c r="AK161" i="1" s="1"/>
  <c r="AL179" i="1"/>
  <c r="AL161" i="1" s="1"/>
  <c r="AM179" i="1"/>
  <c r="AM161" i="1" s="1"/>
  <c r="AN179" i="1"/>
  <c r="AN161" i="1" s="1"/>
  <c r="AO179" i="1"/>
  <c r="AO161" i="1" s="1"/>
  <c r="AP179" i="1"/>
  <c r="AP161" i="1" s="1"/>
  <c r="AQ179" i="1"/>
  <c r="AQ161" i="1" s="1"/>
  <c r="AR179" i="1"/>
  <c r="AR161" i="1" s="1"/>
  <c r="AS179" i="1"/>
  <c r="AS161" i="1" s="1"/>
  <c r="AT179" i="1"/>
  <c r="AT161" i="1" s="1"/>
  <c r="AU179" i="1"/>
  <c r="AU161" i="1" s="1"/>
  <c r="AV179" i="1"/>
  <c r="AV161" i="1" s="1"/>
  <c r="AW179" i="1"/>
  <c r="AW161" i="1" s="1"/>
  <c r="AX179" i="1"/>
  <c r="AX161" i="1" s="1"/>
  <c r="AY179" i="1"/>
  <c r="AY161" i="1" s="1"/>
  <c r="AZ179" i="1"/>
  <c r="AZ161" i="1" s="1"/>
  <c r="BA179" i="1"/>
  <c r="BA161" i="1" s="1"/>
  <c r="BB179" i="1"/>
  <c r="BB161" i="1" s="1"/>
  <c r="BC179" i="1"/>
  <c r="BC161" i="1" s="1"/>
  <c r="BD179" i="1"/>
  <c r="BE179" i="1"/>
  <c r="BF179" i="1"/>
  <c r="BF161" i="1" s="1"/>
  <c r="BG179" i="1"/>
  <c r="BG161" i="1" s="1"/>
  <c r="BH179" i="1"/>
  <c r="W179" i="1"/>
  <c r="W161" i="1" s="1"/>
  <c r="X180" i="1"/>
  <c r="X179" i="1" s="1"/>
  <c r="J181" i="1"/>
  <c r="J180" i="1" l="1"/>
  <c r="D22" i="1"/>
  <c r="J9" i="3" l="1"/>
  <c r="H9" i="3"/>
  <c r="J276" i="1"/>
  <c r="BM276" i="1" s="1"/>
  <c r="X174" i="1" l="1"/>
  <c r="AE174" i="1"/>
  <c r="AA175" i="1"/>
  <c r="AQ174" i="1"/>
  <c r="AA174" i="1" l="1"/>
  <c r="J174" i="1" s="1"/>
  <c r="J175" i="1"/>
  <c r="G103" i="1"/>
  <c r="D103" i="1"/>
  <c r="AQ907" i="1"/>
  <c r="Z907" i="1"/>
  <c r="BE907" i="1"/>
  <c r="D907" i="1"/>
  <c r="G220" i="1"/>
  <c r="Z220" i="1"/>
  <c r="J220" i="1" s="1"/>
  <c r="D220" i="1"/>
  <c r="BJ220" i="1" s="1"/>
  <c r="G908" i="1" l="1"/>
  <c r="D908" i="1"/>
  <c r="G105" i="1"/>
  <c r="AB105" i="1"/>
  <c r="D105" i="1"/>
  <c r="D917" i="1"/>
  <c r="G104" i="1"/>
  <c r="D104" i="1"/>
  <c r="BD606" i="1"/>
  <c r="D606" i="1"/>
  <c r="BJ620" i="1" l="1"/>
  <c r="J99" i="1" l="1"/>
  <c r="G99" i="1"/>
  <c r="X98" i="1"/>
  <c r="BM572" i="1"/>
  <c r="BM573" i="1"/>
  <c r="BM574" i="1"/>
  <c r="BM575" i="1"/>
  <c r="BM576" i="1"/>
  <c r="BM577" i="1"/>
  <c r="BM579" i="1"/>
  <c r="BM604" i="1"/>
  <c r="BM605" i="1"/>
  <c r="BM608" i="1"/>
  <c r="BM609" i="1"/>
  <c r="BM610" i="1"/>
  <c r="BM611" i="1"/>
  <c r="BM612" i="1"/>
  <c r="BM613" i="1"/>
  <c r="BM614" i="1"/>
  <c r="BM615" i="1"/>
  <c r="BM616" i="1"/>
  <c r="BM623" i="1"/>
  <c r="BM626" i="1"/>
  <c r="BM627" i="1"/>
  <c r="BM629" i="1"/>
  <c r="BM630" i="1"/>
  <c r="BM631" i="1"/>
  <c r="BM632" i="1"/>
  <c r="BM633" i="1"/>
  <c r="BM634" i="1"/>
  <c r="BM636" i="1"/>
  <c r="BM637" i="1"/>
  <c r="BM639" i="1"/>
  <c r="BM645" i="1"/>
  <c r="BM646" i="1"/>
  <c r="BM647" i="1"/>
  <c r="BM648" i="1"/>
  <c r="BM650" i="1"/>
  <c r="BM651" i="1"/>
  <c r="BM652" i="1"/>
  <c r="BM653" i="1"/>
  <c r="BM654" i="1"/>
  <c r="BM655" i="1"/>
  <c r="BM656" i="1"/>
  <c r="BM660" i="1"/>
  <c r="BM662" i="1"/>
  <c r="BM663" i="1"/>
  <c r="BM664" i="1"/>
  <c r="BM665" i="1"/>
  <c r="BM666" i="1"/>
  <c r="BM667" i="1"/>
  <c r="BM668" i="1"/>
  <c r="BM669" i="1"/>
  <c r="BM670" i="1"/>
  <c r="BM671" i="1"/>
  <c r="BM672" i="1"/>
  <c r="BM673" i="1"/>
  <c r="BM674" i="1"/>
  <c r="BM677" i="1"/>
  <c r="BM678" i="1"/>
  <c r="BM679" i="1"/>
  <c r="BM681" i="1"/>
  <c r="BM682" i="1"/>
  <c r="BM683" i="1"/>
  <c r="BM684" i="1"/>
  <c r="BM685" i="1"/>
  <c r="BM686" i="1"/>
  <c r="BM691" i="1"/>
  <c r="BM692" i="1"/>
  <c r="BM695" i="1"/>
  <c r="BM935" i="1"/>
  <c r="BM936" i="1"/>
  <c r="BM937" i="1"/>
  <c r="BM938" i="1"/>
  <c r="BM939" i="1"/>
  <c r="BM940" i="1"/>
  <c r="BM941" i="1"/>
  <c r="BM942" i="1"/>
  <c r="BM943" i="1"/>
  <c r="BM944" i="1"/>
  <c r="BM945" i="1"/>
  <c r="BM946" i="1"/>
  <c r="BM949" i="1"/>
  <c r="BM950" i="1"/>
  <c r="BM952" i="1"/>
  <c r="BM956" i="1"/>
  <c r="BM957" i="1"/>
  <c r="BM958" i="1"/>
  <c r="BM959" i="1"/>
  <c r="BM960" i="1"/>
  <c r="BM961" i="1"/>
  <c r="BM962" i="1"/>
  <c r="BM963" i="1"/>
  <c r="BM964" i="1"/>
  <c r="BM965" i="1"/>
  <c r="BM968" i="1"/>
  <c r="BM969" i="1"/>
  <c r="BM970" i="1"/>
  <c r="BM6" i="1"/>
  <c r="BM7" i="1"/>
  <c r="BM8" i="1"/>
  <c r="BM9" i="1"/>
  <c r="BM10" i="1"/>
  <c r="BM11" i="1"/>
  <c r="BM17" i="1"/>
  <c r="BM20" i="1"/>
  <c r="BM21" i="1"/>
  <c r="BM22" i="1"/>
  <c r="BM23" i="1"/>
  <c r="BM24" i="1"/>
  <c r="BM28" i="1"/>
  <c r="BM29" i="1"/>
  <c r="BM30" i="1"/>
  <c r="BM31" i="1"/>
  <c r="BM32" i="1"/>
  <c r="BM33" i="1"/>
  <c r="BM34" i="1"/>
  <c r="BM35" i="1"/>
  <c r="BM37" i="1"/>
  <c r="BM38" i="1"/>
  <c r="BM39" i="1"/>
  <c r="BM40" i="1"/>
  <c r="BM41" i="1"/>
  <c r="BM81" i="1"/>
  <c r="BM42" i="1"/>
  <c r="BM43" i="1"/>
  <c r="BM44" i="1"/>
  <c r="BM45" i="1"/>
  <c r="BM46" i="1"/>
  <c r="BM47" i="1"/>
  <c r="BM48" i="1"/>
  <c r="BM49" i="1"/>
  <c r="BM50" i="1"/>
  <c r="BM51" i="1"/>
  <c r="BM52" i="1"/>
  <c r="BM53" i="1"/>
  <c r="BM63" i="1"/>
  <c r="BM65" i="1"/>
  <c r="BM72" i="1"/>
  <c r="BM73" i="1"/>
  <c r="BM74" i="1"/>
  <c r="BM75" i="1"/>
  <c r="BM76" i="1"/>
  <c r="BM77" i="1"/>
  <c r="BM78" i="1"/>
  <c r="BM79" i="1"/>
  <c r="BM80" i="1"/>
  <c r="BM82" i="1"/>
  <c r="BM83" i="1"/>
  <c r="BM84" i="1"/>
  <c r="BM85" i="1"/>
  <c r="BM86" i="1"/>
  <c r="BM87" i="1"/>
  <c r="BM88" i="1"/>
  <c r="BM90" i="1"/>
  <c r="BM91" i="1"/>
  <c r="BM109" i="1"/>
  <c r="BM110" i="1"/>
  <c r="BM111" i="1"/>
  <c r="BM113" i="1"/>
  <c r="BM114" i="1"/>
  <c r="BM115" i="1"/>
  <c r="BM116" i="1"/>
  <c r="BM117" i="1"/>
  <c r="BM118" i="1"/>
  <c r="BM119" i="1"/>
  <c r="BM120" i="1"/>
  <c r="BM127" i="1"/>
  <c r="BM128" i="1"/>
  <c r="BM129" i="1"/>
  <c r="BM130" i="1"/>
  <c r="BM131" i="1"/>
  <c r="BM132" i="1"/>
  <c r="BM133" i="1"/>
  <c r="BM134" i="1"/>
  <c r="BM135" i="1"/>
  <c r="BM136" i="1"/>
  <c r="BM137" i="1"/>
  <c r="BM138" i="1"/>
  <c r="BM139" i="1"/>
  <c r="BM140" i="1"/>
  <c r="BM141" i="1"/>
  <c r="BM142" i="1"/>
  <c r="BM143" i="1"/>
  <c r="BM144" i="1"/>
  <c r="BM150" i="1"/>
  <c r="BM151" i="1"/>
  <c r="BM153" i="1"/>
  <c r="BM159" i="1"/>
  <c r="BM163" i="1"/>
  <c r="BM164" i="1"/>
  <c r="BM165" i="1"/>
  <c r="BM166" i="1"/>
  <c r="BM167" i="1"/>
  <c r="BM168" i="1"/>
  <c r="BM169" i="1"/>
  <c r="BM170" i="1"/>
  <c r="BM171" i="1"/>
  <c r="BM172" i="1"/>
  <c r="BM179" i="1"/>
  <c r="BM187" i="1"/>
  <c r="BM188" i="1"/>
  <c r="BM189" i="1"/>
  <c r="BM190" i="1"/>
  <c r="BM191" i="1"/>
  <c r="BM192" i="1"/>
  <c r="BM193" i="1"/>
  <c r="BM194" i="1"/>
  <c r="BM195" i="1"/>
  <c r="BM196" i="1"/>
  <c r="BM197" i="1"/>
  <c r="BM198" i="1"/>
  <c r="BM199" i="1"/>
  <c r="BM201" i="1"/>
  <c r="BM202" i="1"/>
  <c r="BM204" i="1"/>
  <c r="BM205" i="1"/>
  <c r="BM206" i="1"/>
  <c r="BM207" i="1"/>
  <c r="BM208" i="1"/>
  <c r="BM209" i="1"/>
  <c r="BM223" i="1"/>
  <c r="BM224" i="1"/>
  <c r="BM227" i="1"/>
  <c r="BM228" i="1"/>
  <c r="BM229" i="1"/>
  <c r="BM230" i="1"/>
  <c r="BM231" i="1"/>
  <c r="BM232" i="1"/>
  <c r="BM233" i="1"/>
  <c r="BM234" i="1"/>
  <c r="BM235" i="1"/>
  <c r="BM236" i="1"/>
  <c r="BM237" i="1"/>
  <c r="BM238" i="1"/>
  <c r="BM239"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E157" i="1"/>
  <c r="H157" i="1"/>
  <c r="I157" i="1"/>
  <c r="K157" i="1"/>
  <c r="L157" i="1"/>
  <c r="L13" i="2" s="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AT157" i="1"/>
  <c r="AU157" i="1"/>
  <c r="AV157" i="1"/>
  <c r="AW157" i="1"/>
  <c r="AX157" i="1"/>
  <c r="AY157" i="1"/>
  <c r="AZ157" i="1"/>
  <c r="BA157" i="1"/>
  <c r="BB157" i="1"/>
  <c r="BC157" i="1"/>
  <c r="BD157" i="1"/>
  <c r="BF157" i="1"/>
  <c r="BG157" i="1"/>
  <c r="BC10" i="2"/>
  <c r="BD10" i="2"/>
  <c r="BE10" i="2"/>
  <c r="BF10" i="2"/>
  <c r="BG10" i="2"/>
  <c r="B5" i="2"/>
  <c r="C5" i="2"/>
  <c r="B6" i="2"/>
  <c r="C6" i="2"/>
  <c r="B7" i="2"/>
  <c r="C7" i="2"/>
  <c r="B8" i="2"/>
  <c r="C8" i="2"/>
  <c r="E8" i="2"/>
  <c r="F8" i="2"/>
  <c r="J8" i="2"/>
  <c r="K8" i="2"/>
  <c r="L8" i="2"/>
  <c r="B9" i="2"/>
  <c r="C9" i="2"/>
  <c r="B10" i="2"/>
  <c r="C10" i="2"/>
  <c r="E10" i="2"/>
  <c r="K10" i="2"/>
  <c r="L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11" i="2"/>
  <c r="C11" i="2"/>
  <c r="B12" i="2"/>
  <c r="C12" i="2"/>
  <c r="L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B4" i="2"/>
  <c r="C4" i="2"/>
  <c r="A4" i="2"/>
  <c r="E498" i="1" l="1"/>
  <c r="E21" i="2" s="1"/>
  <c r="F498" i="1"/>
  <c r="F21" i="2" s="1"/>
  <c r="G498" i="1"/>
  <c r="G21" i="2" s="1"/>
  <c r="H498" i="1"/>
  <c r="H21" i="2" s="1"/>
  <c r="I498" i="1"/>
  <c r="I21" i="2" s="1"/>
  <c r="J498" i="1"/>
  <c r="M498" i="1"/>
  <c r="O498" i="1"/>
  <c r="P498" i="1"/>
  <c r="O21" i="2" s="1"/>
  <c r="Q498" i="1"/>
  <c r="P21" i="2" s="1"/>
  <c r="R498" i="1"/>
  <c r="Q21" i="2" s="1"/>
  <c r="S498" i="1"/>
  <c r="R21" i="2" s="1"/>
  <c r="T498" i="1"/>
  <c r="S21" i="2" s="1"/>
  <c r="U498" i="1"/>
  <c r="T21" i="2" s="1"/>
  <c r="V498" i="1"/>
  <c r="U21" i="2" s="1"/>
  <c r="W498" i="1"/>
  <c r="V21" i="2" s="1"/>
  <c r="X498" i="1"/>
  <c r="W21" i="2" s="1"/>
  <c r="Y498" i="1"/>
  <c r="X21" i="2" s="1"/>
  <c r="Z498" i="1"/>
  <c r="Y21" i="2" s="1"/>
  <c r="AA498" i="1"/>
  <c r="Z21" i="2" s="1"/>
  <c r="AB498" i="1"/>
  <c r="AA21" i="2" s="1"/>
  <c r="AC498" i="1"/>
  <c r="AB21" i="2" s="1"/>
  <c r="AD498" i="1"/>
  <c r="AC21" i="2" s="1"/>
  <c r="AE498" i="1"/>
  <c r="AD21" i="2" s="1"/>
  <c r="AF498" i="1"/>
  <c r="AE21" i="2" s="1"/>
  <c r="AG498" i="1"/>
  <c r="AF21" i="2" s="1"/>
  <c r="AH498" i="1"/>
  <c r="AG21" i="2" s="1"/>
  <c r="AI498" i="1"/>
  <c r="AH21" i="2" s="1"/>
  <c r="AJ498" i="1"/>
  <c r="AI21" i="2" s="1"/>
  <c r="AK498" i="1"/>
  <c r="AJ21" i="2" s="1"/>
  <c r="AL498" i="1"/>
  <c r="AK21" i="2" s="1"/>
  <c r="AM498" i="1"/>
  <c r="AL21" i="2" s="1"/>
  <c r="AN498" i="1"/>
  <c r="AM21" i="2" s="1"/>
  <c r="AO498" i="1"/>
  <c r="AN21" i="2" s="1"/>
  <c r="AP498" i="1"/>
  <c r="AO21" i="2" s="1"/>
  <c r="AQ498" i="1"/>
  <c r="AP21" i="2" s="1"/>
  <c r="AR498" i="1"/>
  <c r="AQ21" i="2" s="1"/>
  <c r="AS498" i="1"/>
  <c r="AR21" i="2" s="1"/>
  <c r="AT498" i="1"/>
  <c r="AS21" i="2" s="1"/>
  <c r="AU498" i="1"/>
  <c r="AT21" i="2" s="1"/>
  <c r="AV498" i="1"/>
  <c r="AU21" i="2" s="1"/>
  <c r="AW498" i="1"/>
  <c r="AV21" i="2" s="1"/>
  <c r="AX498" i="1"/>
  <c r="AW21" i="2" s="1"/>
  <c r="AY498" i="1"/>
  <c r="AX21" i="2" s="1"/>
  <c r="AZ498" i="1"/>
  <c r="AY21" i="2" s="1"/>
  <c r="BA498" i="1"/>
  <c r="AZ21" i="2" s="1"/>
  <c r="BB498" i="1"/>
  <c r="BA21" i="2" s="1"/>
  <c r="BC498" i="1"/>
  <c r="BB21" i="2" s="1"/>
  <c r="BD498" i="1"/>
  <c r="BC21" i="2" s="1"/>
  <c r="BE498" i="1"/>
  <c r="BD21" i="2" s="1"/>
  <c r="BF498" i="1"/>
  <c r="BE21" i="2" s="1"/>
  <c r="BG498" i="1"/>
  <c r="BF21" i="2" s="1"/>
  <c r="BH498" i="1"/>
  <c r="BG21" i="2" s="1"/>
  <c r="D498" i="1"/>
  <c r="D21" i="2" s="1"/>
  <c r="D240" i="1"/>
  <c r="D16" i="2" s="1"/>
  <c r="BM498" i="1" l="1"/>
  <c r="J21" i="2"/>
  <c r="BJ946" i="1"/>
  <c r="Z735" i="1" l="1"/>
  <c r="BM735" i="1" l="1"/>
  <c r="BJ733" i="1"/>
  <c r="BJ732" i="1"/>
  <c r="BE734" i="1"/>
  <c r="BM734" i="1" l="1"/>
  <c r="E661" i="1"/>
  <c r="E30" i="2" s="1"/>
  <c r="F661" i="1"/>
  <c r="F30" i="2" s="1"/>
  <c r="G661" i="1"/>
  <c r="G30" i="2" s="1"/>
  <c r="H661" i="1"/>
  <c r="H30" i="2" s="1"/>
  <c r="I661" i="1"/>
  <c r="I30" i="2" s="1"/>
  <c r="K661" i="1"/>
  <c r="L661" i="1"/>
  <c r="M661" i="1"/>
  <c r="P661" i="1"/>
  <c r="O30" i="2" s="1"/>
  <c r="Q661" i="1"/>
  <c r="P30" i="2" s="1"/>
  <c r="R661" i="1"/>
  <c r="Q30" i="2" s="1"/>
  <c r="S661" i="1"/>
  <c r="R30" i="2" s="1"/>
  <c r="T661" i="1"/>
  <c r="S30" i="2" s="1"/>
  <c r="U661" i="1"/>
  <c r="T30" i="2" s="1"/>
  <c r="V661" i="1"/>
  <c r="U30" i="2" s="1"/>
  <c r="W661" i="1"/>
  <c r="V30" i="2" s="1"/>
  <c r="X661" i="1"/>
  <c r="W30" i="2" s="1"/>
  <c r="Y661" i="1"/>
  <c r="X30" i="2" s="1"/>
  <c r="Z661" i="1"/>
  <c r="Y30" i="2" s="1"/>
  <c r="AA661" i="1"/>
  <c r="Z30" i="2" s="1"/>
  <c r="AB661" i="1"/>
  <c r="AA30" i="2" s="1"/>
  <c r="AC661" i="1"/>
  <c r="AB30" i="2" s="1"/>
  <c r="AD661" i="1"/>
  <c r="AC30" i="2" s="1"/>
  <c r="AE661" i="1"/>
  <c r="AD30" i="2" s="1"/>
  <c r="AF661" i="1"/>
  <c r="AE30" i="2" s="1"/>
  <c r="AG661" i="1"/>
  <c r="AF30" i="2" s="1"/>
  <c r="AH661" i="1"/>
  <c r="AG30" i="2" s="1"/>
  <c r="AI661" i="1"/>
  <c r="AH30" i="2" s="1"/>
  <c r="AJ661" i="1"/>
  <c r="AI30" i="2" s="1"/>
  <c r="AK661" i="1"/>
  <c r="AJ30" i="2" s="1"/>
  <c r="AL661" i="1"/>
  <c r="AK30" i="2" s="1"/>
  <c r="AM661" i="1"/>
  <c r="AL30" i="2" s="1"/>
  <c r="AN661" i="1"/>
  <c r="AM30" i="2" s="1"/>
  <c r="AO661" i="1"/>
  <c r="AN30" i="2" s="1"/>
  <c r="AP661" i="1"/>
  <c r="AO30" i="2" s="1"/>
  <c r="AQ661" i="1"/>
  <c r="AP30" i="2" s="1"/>
  <c r="AR661" i="1"/>
  <c r="AQ30" i="2" s="1"/>
  <c r="AS661" i="1"/>
  <c r="AR30" i="2" s="1"/>
  <c r="AT661" i="1"/>
  <c r="AS30" i="2" s="1"/>
  <c r="AU661" i="1"/>
  <c r="AT30" i="2" s="1"/>
  <c r="AV661" i="1"/>
  <c r="AU30" i="2" s="1"/>
  <c r="AW661" i="1"/>
  <c r="AV30" i="2" s="1"/>
  <c r="AX661" i="1"/>
  <c r="AW30" i="2" s="1"/>
  <c r="AY661" i="1"/>
  <c r="AX30" i="2" s="1"/>
  <c r="AZ661" i="1"/>
  <c r="AY30" i="2" s="1"/>
  <c r="BA661" i="1"/>
  <c r="AZ30" i="2" s="1"/>
  <c r="BB661" i="1"/>
  <c r="BA30" i="2" s="1"/>
  <c r="BC661" i="1"/>
  <c r="BB30" i="2" s="1"/>
  <c r="BD661" i="1"/>
  <c r="BC30" i="2" s="1"/>
  <c r="BE661" i="1"/>
  <c r="BD30" i="2" s="1"/>
  <c r="BF661" i="1"/>
  <c r="BE30" i="2" s="1"/>
  <c r="BG661" i="1"/>
  <c r="BF30" i="2" s="1"/>
  <c r="BH661" i="1"/>
  <c r="BG30" i="2" s="1"/>
  <c r="D661" i="1"/>
  <c r="D30" i="2" s="1"/>
  <c r="G19" i="2"/>
  <c r="H19" i="2"/>
  <c r="I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BC19" i="2"/>
  <c r="BE19" i="2"/>
  <c r="BF19" i="2"/>
  <c r="BG19" i="2"/>
  <c r="BK439" i="1"/>
  <c r="AB89" i="1" l="1"/>
  <c r="BM89" i="1" s="1"/>
  <c r="BJ6" i="1" l="1"/>
  <c r="BJ7" i="1"/>
  <c r="BJ8" i="1"/>
  <c r="BJ9" i="1"/>
  <c r="BJ10" i="1"/>
  <c r="BJ11" i="1"/>
  <c r="BJ13" i="1"/>
  <c r="BJ15" i="1"/>
  <c r="BJ16" i="1"/>
  <c r="BJ17" i="1"/>
  <c r="BJ20" i="1"/>
  <c r="BJ21" i="1"/>
  <c r="BJ22" i="1"/>
  <c r="BJ23" i="1"/>
  <c r="BJ24" i="1"/>
  <c r="BJ27" i="1"/>
  <c r="BJ28" i="1"/>
  <c r="BJ29" i="1"/>
  <c r="BJ30" i="1"/>
  <c r="BJ31" i="1"/>
  <c r="BJ32" i="1"/>
  <c r="BJ33" i="1"/>
  <c r="BJ34" i="1"/>
  <c r="BJ35" i="1"/>
  <c r="BJ36" i="1"/>
  <c r="BJ37" i="1"/>
  <c r="BJ38" i="1"/>
  <c r="BJ39" i="1"/>
  <c r="BJ40" i="1"/>
  <c r="BJ41" i="1"/>
  <c r="BJ81" i="1"/>
  <c r="BJ42" i="1"/>
  <c r="BJ43" i="1"/>
  <c r="BJ44" i="1"/>
  <c r="BJ45" i="1"/>
  <c r="BJ52" i="1"/>
  <c r="BJ53" i="1"/>
  <c r="BJ57" i="1"/>
  <c r="BJ58" i="1"/>
  <c r="BJ59" i="1"/>
  <c r="BJ60" i="1"/>
  <c r="BJ63" i="1"/>
  <c r="BJ65" i="1"/>
  <c r="BJ66" i="1"/>
  <c r="BJ67" i="1"/>
  <c r="BJ68" i="1"/>
  <c r="BJ69" i="1"/>
  <c r="BJ70" i="1"/>
  <c r="BJ71" i="1"/>
  <c r="BJ72" i="1"/>
  <c r="BJ73" i="1"/>
  <c r="BJ74" i="1"/>
  <c r="BJ75" i="1"/>
  <c r="BJ77" i="1"/>
  <c r="BJ78" i="1"/>
  <c r="BJ79" i="1"/>
  <c r="BJ80" i="1"/>
  <c r="BJ82" i="1"/>
  <c r="BJ83" i="1"/>
  <c r="BJ84" i="1"/>
  <c r="BJ85" i="1"/>
  <c r="BJ86" i="1"/>
  <c r="BJ87" i="1"/>
  <c r="BJ88" i="1"/>
  <c r="BJ90" i="1"/>
  <c r="BJ91" i="1"/>
  <c r="BJ92" i="1"/>
  <c r="BJ98" i="1"/>
  <c r="BJ99" i="1"/>
  <c r="BJ102" i="1"/>
  <c r="BJ104" i="1"/>
  <c r="BJ105" i="1"/>
  <c r="BJ107" i="1"/>
  <c r="BJ108" i="1"/>
  <c r="BJ109" i="1"/>
  <c r="BJ110" i="1"/>
  <c r="BJ111" i="1"/>
  <c r="BJ113" i="1"/>
  <c r="BJ114" i="1"/>
  <c r="BJ115" i="1"/>
  <c r="BJ116" i="1"/>
  <c r="BJ117" i="1"/>
  <c r="BJ118" i="1"/>
  <c r="BJ119" i="1"/>
  <c r="BJ120" i="1"/>
  <c r="BJ121" i="1"/>
  <c r="BJ122" i="1"/>
  <c r="BJ126" i="1"/>
  <c r="BJ127" i="1"/>
  <c r="BJ128" i="1"/>
  <c r="BJ129" i="1"/>
  <c r="BJ131" i="1"/>
  <c r="BJ132" i="1"/>
  <c r="BJ133" i="1"/>
  <c r="BJ134" i="1"/>
  <c r="BJ135" i="1"/>
  <c r="BJ136" i="1"/>
  <c r="BJ137" i="1"/>
  <c r="BJ138" i="1"/>
  <c r="BJ139" i="1"/>
  <c r="BJ140" i="1"/>
  <c r="BJ141" i="1"/>
  <c r="BJ142" i="1"/>
  <c r="BJ143" i="1"/>
  <c r="BJ144" i="1"/>
  <c r="BJ145" i="1"/>
  <c r="BJ146" i="1"/>
  <c r="BJ147" i="1"/>
  <c r="BJ148" i="1"/>
  <c r="BJ149" i="1"/>
  <c r="BJ150" i="1"/>
  <c r="BJ151" i="1"/>
  <c r="BJ158" i="1"/>
  <c r="BJ159" i="1"/>
  <c r="BJ176" i="1"/>
  <c r="BJ179" i="1"/>
  <c r="BJ182" i="1"/>
  <c r="BJ183" i="1"/>
  <c r="BJ184" i="1"/>
  <c r="BJ185" i="1"/>
  <c r="BJ186" i="1"/>
  <c r="BJ187" i="1"/>
  <c r="BJ188" i="1"/>
  <c r="BJ189" i="1"/>
  <c r="BJ190" i="1"/>
  <c r="BJ191" i="1"/>
  <c r="BJ192" i="1"/>
  <c r="BJ193" i="1"/>
  <c r="BJ194" i="1"/>
  <c r="BJ195" i="1"/>
  <c r="BJ196" i="1"/>
  <c r="BJ197" i="1"/>
  <c r="BJ198" i="1"/>
  <c r="BJ199" i="1"/>
  <c r="BJ200" i="1"/>
  <c r="BJ201" i="1"/>
  <c r="BJ202" i="1"/>
  <c r="BJ204" i="1"/>
  <c r="BJ205" i="1"/>
  <c r="BJ206" i="1"/>
  <c r="BJ207" i="1"/>
  <c r="BJ208" i="1"/>
  <c r="BJ209" i="1"/>
  <c r="BJ216" i="1"/>
  <c r="BJ218" i="1"/>
  <c r="BJ221" i="1"/>
  <c r="BJ222" i="1"/>
  <c r="BJ223" i="1"/>
  <c r="BJ224" i="1"/>
  <c r="BJ226" i="1"/>
  <c r="BJ227" i="1"/>
  <c r="BJ228" i="1"/>
  <c r="BJ229" i="1"/>
  <c r="BJ230" i="1"/>
  <c r="BJ231" i="1"/>
  <c r="BJ232" i="1"/>
  <c r="BJ233" i="1"/>
  <c r="BJ234" i="1"/>
  <c r="BJ235" i="1"/>
  <c r="BJ236" i="1"/>
  <c r="BJ237" i="1"/>
  <c r="BJ238" i="1"/>
  <c r="BJ239" i="1"/>
  <c r="BJ241" i="1"/>
  <c r="BJ242" i="1"/>
  <c r="BJ243" i="1"/>
  <c r="BJ244" i="1"/>
  <c r="BJ245" i="1"/>
  <c r="BJ246" i="1"/>
  <c r="BJ247" i="1"/>
  <c r="BJ252" i="1"/>
  <c r="BJ253" i="1"/>
  <c r="BJ254" i="1"/>
  <c r="BJ255" i="1"/>
  <c r="BJ256" i="1"/>
  <c r="BJ257" i="1"/>
  <c r="BJ258" i="1"/>
  <c r="BJ259" i="1"/>
  <c r="BJ260" i="1"/>
  <c r="BJ261" i="1"/>
  <c r="BJ262" i="1"/>
  <c r="BJ263" i="1"/>
  <c r="BJ264" i="1"/>
  <c r="BJ265" i="1"/>
  <c r="BJ268" i="1"/>
  <c r="BJ271" i="1"/>
  <c r="BJ478" i="1"/>
  <c r="BJ274" i="1"/>
  <c r="BJ275" i="1"/>
  <c r="BJ283" i="1"/>
  <c r="BJ291" i="1"/>
  <c r="BJ300" i="1"/>
  <c r="BJ301" i="1"/>
  <c r="BJ305" i="1"/>
  <c r="BJ306" i="1"/>
  <c r="BJ307" i="1"/>
  <c r="BJ312" i="1"/>
  <c r="BJ314" i="1"/>
  <c r="BJ315" i="1"/>
  <c r="BJ316" i="1"/>
  <c r="BJ321" i="1"/>
  <c r="BJ322" i="1"/>
  <c r="BJ326" i="1"/>
  <c r="BJ327"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2" i="1"/>
  <c r="BJ385" i="1"/>
  <c r="BJ386" i="1"/>
  <c r="BJ387" i="1"/>
  <c r="BJ389" i="1"/>
  <c r="BJ392" i="1"/>
  <c r="BJ393" i="1"/>
  <c r="BJ394" i="1"/>
  <c r="BJ395" i="1"/>
  <c r="BJ396" i="1"/>
  <c r="BJ397" i="1"/>
  <c r="BJ398" i="1"/>
  <c r="BJ399" i="1"/>
  <c r="BJ401" i="1"/>
  <c r="BJ402" i="1"/>
  <c r="BJ407" i="1"/>
  <c r="BJ408" i="1"/>
  <c r="BJ409" i="1"/>
  <c r="BJ410" i="1"/>
  <c r="BJ411" i="1"/>
  <c r="BJ412" i="1"/>
  <c r="BJ413" i="1"/>
  <c r="BJ416" i="1"/>
  <c r="BJ417" i="1"/>
  <c r="BJ418" i="1"/>
  <c r="BJ419" i="1"/>
  <c r="BJ420" i="1"/>
  <c r="BJ421" i="1"/>
  <c r="BJ296" i="1"/>
  <c r="BJ422" i="1"/>
  <c r="BJ423" i="1"/>
  <c r="BJ424" i="1"/>
  <c r="BJ425" i="1"/>
  <c r="BJ426" i="1"/>
  <c r="BJ427" i="1"/>
  <c r="BJ428" i="1"/>
  <c r="BJ429" i="1"/>
  <c r="BJ430" i="1"/>
  <c r="BJ431" i="1"/>
  <c r="BJ432" i="1"/>
  <c r="BJ433" i="1"/>
  <c r="BJ434" i="1"/>
  <c r="BJ435" i="1"/>
  <c r="BJ436" i="1"/>
  <c r="BJ437" i="1"/>
  <c r="BJ438" i="1"/>
  <c r="BJ455" i="1"/>
  <c r="BJ456" i="1"/>
  <c r="BJ459" i="1"/>
  <c r="BJ460" i="1"/>
  <c r="BJ461" i="1"/>
  <c r="BJ462" i="1"/>
  <c r="BJ463" i="1"/>
  <c r="BJ464" i="1"/>
  <c r="BJ465" i="1"/>
  <c r="BJ466" i="1"/>
  <c r="BJ467" i="1"/>
  <c r="BJ468" i="1"/>
  <c r="BJ469" i="1"/>
  <c r="BJ470" i="1"/>
  <c r="BJ471" i="1"/>
  <c r="BJ474" i="1"/>
  <c r="BJ475" i="1"/>
  <c r="BJ476" i="1"/>
  <c r="BJ477" i="1"/>
  <c r="BJ486" i="1"/>
  <c r="BJ487" i="1"/>
  <c r="BJ488" i="1"/>
  <c r="BJ489" i="1"/>
  <c r="BJ490" i="1"/>
  <c r="BJ491" i="1"/>
  <c r="BJ494" i="1"/>
  <c r="BJ495" i="1"/>
  <c r="BJ496" i="1"/>
  <c r="BJ497" i="1"/>
  <c r="BJ499" i="1"/>
  <c r="BJ500" i="1"/>
  <c r="BJ504" i="1"/>
  <c r="BJ506" i="1"/>
  <c r="BJ507" i="1"/>
  <c r="BJ508" i="1"/>
  <c r="BJ509" i="1"/>
  <c r="BJ510" i="1"/>
  <c r="BJ511" i="1"/>
  <c r="BJ512" i="1"/>
  <c r="BJ513" i="1"/>
  <c r="BJ514" i="1"/>
  <c r="BJ515" i="1"/>
  <c r="BJ516" i="1"/>
  <c r="BJ517" i="1"/>
  <c r="BJ518" i="1"/>
  <c r="BJ519" i="1"/>
  <c r="BJ520" i="1"/>
  <c r="BJ521" i="1"/>
  <c r="BJ522" i="1"/>
  <c r="BJ523" i="1"/>
  <c r="BJ525" i="1"/>
  <c r="BJ526" i="1"/>
  <c r="BJ527" i="1"/>
  <c r="BJ528" i="1"/>
  <c r="BJ529" i="1"/>
  <c r="BJ530" i="1"/>
  <c r="BJ531" i="1"/>
  <c r="BJ532" i="1"/>
  <c r="BJ533" i="1"/>
  <c r="BJ534" i="1"/>
  <c r="BJ535" i="1"/>
  <c r="BJ537" i="1"/>
  <c r="BJ538" i="1"/>
  <c r="BJ539" i="1"/>
  <c r="BJ541" i="1"/>
  <c r="BJ542" i="1"/>
  <c r="BJ543" i="1"/>
  <c r="BJ544" i="1"/>
  <c r="BJ546" i="1"/>
  <c r="BJ547" i="1"/>
  <c r="BJ548" i="1"/>
  <c r="BJ572" i="1"/>
  <c r="BJ573" i="1"/>
  <c r="BJ574" i="1"/>
  <c r="BJ575" i="1"/>
  <c r="BJ576" i="1"/>
  <c r="BJ577" i="1"/>
  <c r="BJ579" i="1"/>
  <c r="BJ602" i="1"/>
  <c r="BJ604" i="1"/>
  <c r="BJ606" i="1"/>
  <c r="BJ608" i="1"/>
  <c r="BJ609" i="1"/>
  <c r="BJ610" i="1"/>
  <c r="BJ611" i="1"/>
  <c r="BJ612" i="1"/>
  <c r="BJ613" i="1"/>
  <c r="BJ614" i="1"/>
  <c r="BJ615" i="1"/>
  <c r="BJ616" i="1"/>
  <c r="BJ618" i="1"/>
  <c r="BJ619" i="1"/>
  <c r="BJ621" i="1"/>
  <c r="BJ622" i="1"/>
  <c r="BJ623" i="1"/>
  <c r="BJ625" i="1"/>
  <c r="BJ626" i="1"/>
  <c r="BJ627" i="1"/>
  <c r="BJ628" i="1"/>
  <c r="BJ630" i="1"/>
  <c r="BJ631" i="1"/>
  <c r="BJ632" i="1"/>
  <c r="BJ633" i="1"/>
  <c r="BJ634" i="1"/>
  <c r="BJ635" i="1"/>
  <c r="BJ636" i="1"/>
  <c r="BJ637" i="1"/>
  <c r="BJ638" i="1"/>
  <c r="BJ640" i="1"/>
  <c r="BJ641" i="1"/>
  <c r="BJ643" i="1"/>
  <c r="BJ644" i="1"/>
  <c r="BJ645" i="1"/>
  <c r="BJ646" i="1"/>
  <c r="BJ647" i="1"/>
  <c r="BJ648" i="1"/>
  <c r="BJ650" i="1"/>
  <c r="BJ651" i="1"/>
  <c r="BJ652" i="1"/>
  <c r="BJ653" i="1"/>
  <c r="BJ654" i="1"/>
  <c r="BJ655" i="1"/>
  <c r="BJ656" i="1"/>
  <c r="BJ657" i="1"/>
  <c r="BJ658" i="1"/>
  <c r="BJ659" i="1"/>
  <c r="BJ660" i="1"/>
  <c r="BJ662" i="1"/>
  <c r="BJ663" i="1"/>
  <c r="BJ664" i="1"/>
  <c r="BJ665" i="1"/>
  <c r="BJ666" i="1"/>
  <c r="BJ667" i="1"/>
  <c r="BJ668" i="1"/>
  <c r="BJ669" i="1"/>
  <c r="BJ670" i="1"/>
  <c r="BJ671" i="1"/>
  <c r="BJ672" i="1"/>
  <c r="BJ673" i="1"/>
  <c r="BJ674" i="1"/>
  <c r="BJ675" i="1"/>
  <c r="BJ676" i="1"/>
  <c r="BJ677" i="1"/>
  <c r="BJ678" i="1"/>
  <c r="BJ679" i="1"/>
  <c r="BJ683" i="1"/>
  <c r="BJ684" i="1"/>
  <c r="BJ685" i="1"/>
  <c r="BJ686" i="1"/>
  <c r="BJ687" i="1"/>
  <c r="BJ688" i="1"/>
  <c r="BJ689" i="1"/>
  <c r="BJ691" i="1"/>
  <c r="BJ692" i="1"/>
  <c r="BJ695" i="1"/>
  <c r="BJ718" i="1"/>
  <c r="BJ719" i="1"/>
  <c r="BJ721" i="1"/>
  <c r="BJ730" i="1"/>
  <c r="BJ731" i="1"/>
  <c r="BJ734" i="1"/>
  <c r="BJ735" i="1"/>
  <c r="BJ737"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492" i="1"/>
  <c r="BJ820" i="1"/>
  <c r="BJ821" i="1"/>
  <c r="BJ822" i="1"/>
  <c r="BJ823" i="1"/>
  <c r="BJ824" i="1"/>
  <c r="BJ825" i="1"/>
  <c r="BJ826" i="1"/>
  <c r="BJ827" i="1"/>
  <c r="BJ828" i="1"/>
  <c r="BJ829" i="1"/>
  <c r="BJ830" i="1"/>
  <c r="BJ831" i="1"/>
  <c r="BJ832" i="1"/>
  <c r="BJ833" i="1"/>
  <c r="BJ834" i="1"/>
  <c r="BJ836" i="1"/>
  <c r="BJ837" i="1"/>
  <c r="BJ838" i="1"/>
  <c r="BJ839" i="1"/>
  <c r="BJ841" i="1"/>
  <c r="BJ843" i="1"/>
  <c r="BJ847" i="1"/>
  <c r="BJ851" i="1"/>
  <c r="BJ852" i="1"/>
  <c r="BJ853" i="1"/>
  <c r="BJ860" i="1"/>
  <c r="BJ863" i="1"/>
  <c r="BJ866" i="1"/>
  <c r="BJ868" i="1"/>
  <c r="BJ872" i="1"/>
  <c r="BJ874" i="1"/>
  <c r="BJ879" i="1"/>
  <c r="BJ884" i="1"/>
  <c r="BJ885" i="1"/>
  <c r="BJ889" i="1"/>
  <c r="BJ891" i="1"/>
  <c r="BJ893" i="1"/>
  <c r="BJ898" i="1"/>
  <c r="BJ901" i="1"/>
  <c r="BJ903" i="1"/>
  <c r="BJ904" i="1"/>
  <c r="BJ905" i="1"/>
  <c r="BJ906" i="1"/>
  <c r="BJ908" i="1"/>
  <c r="BJ909" i="1"/>
  <c r="BJ911" i="1"/>
  <c r="BJ915" i="1"/>
  <c r="BJ918" i="1"/>
  <c r="BJ920" i="1"/>
  <c r="BJ922" i="1"/>
  <c r="BJ924" i="1"/>
  <c r="BJ925" i="1"/>
  <c r="BJ926" i="1"/>
  <c r="BJ927" i="1"/>
  <c r="BJ928" i="1"/>
  <c r="BJ929" i="1"/>
  <c r="BJ930" i="1"/>
  <c r="BJ931" i="1"/>
  <c r="BJ932" i="1"/>
  <c r="BJ933" i="1"/>
  <c r="BJ935" i="1"/>
  <c r="BJ936" i="1"/>
  <c r="BJ937" i="1"/>
  <c r="BJ938" i="1"/>
  <c r="BJ939" i="1"/>
  <c r="BJ940" i="1"/>
  <c r="BJ941" i="1"/>
  <c r="BJ942" i="1"/>
  <c r="BJ943" i="1"/>
  <c r="BJ944" i="1"/>
  <c r="BJ945" i="1"/>
  <c r="BJ948" i="1"/>
  <c r="BJ949" i="1"/>
  <c r="BJ950" i="1"/>
  <c r="BJ951" i="1"/>
  <c r="BJ952" i="1"/>
  <c r="BJ956" i="1"/>
  <c r="BJ957" i="1"/>
  <c r="BJ958" i="1"/>
  <c r="BJ960" i="1"/>
  <c r="BJ961" i="1"/>
  <c r="BJ962" i="1"/>
  <c r="BJ963" i="1"/>
  <c r="BJ964" i="1"/>
  <c r="BJ965" i="1"/>
  <c r="BJ966" i="1"/>
  <c r="BJ967" i="1"/>
  <c r="BJ969" i="1"/>
  <c r="BJ970" i="1"/>
  <c r="BJ549" i="1" l="1"/>
  <c r="J183" i="1"/>
  <c r="BM183" i="1" s="1"/>
  <c r="E225" i="1"/>
  <c r="E15" i="2" s="1"/>
  <c r="F225" i="1"/>
  <c r="F15" i="2" s="1"/>
  <c r="G225" i="1"/>
  <c r="G15" i="2" s="1"/>
  <c r="H225" i="1"/>
  <c r="H15" i="2" s="1"/>
  <c r="I225" i="1"/>
  <c r="I15" i="2" s="1"/>
  <c r="K225" i="1"/>
  <c r="K15" i="2" s="1"/>
  <c r="L225" i="1"/>
  <c r="L15" i="2" s="1"/>
  <c r="P225" i="1"/>
  <c r="O15" i="2" s="1"/>
  <c r="Q225" i="1"/>
  <c r="P15" i="2" s="1"/>
  <c r="R225" i="1"/>
  <c r="Q15" i="2" s="1"/>
  <c r="S225" i="1"/>
  <c r="R15" i="2" s="1"/>
  <c r="T225" i="1"/>
  <c r="S15" i="2" s="1"/>
  <c r="U225" i="1"/>
  <c r="T15" i="2" s="1"/>
  <c r="V225" i="1"/>
  <c r="U15" i="2" s="1"/>
  <c r="W225" i="1"/>
  <c r="V15" i="2" s="1"/>
  <c r="X225" i="1"/>
  <c r="W15" i="2" s="1"/>
  <c r="Y225" i="1"/>
  <c r="X15" i="2" s="1"/>
  <c r="Z225" i="1"/>
  <c r="Y15" i="2" s="1"/>
  <c r="AA225" i="1"/>
  <c r="Z15" i="2" s="1"/>
  <c r="AB225" i="1"/>
  <c r="AA15" i="2" s="1"/>
  <c r="AC225" i="1"/>
  <c r="AB15" i="2" s="1"/>
  <c r="AD225" i="1"/>
  <c r="AC15" i="2" s="1"/>
  <c r="AE225" i="1"/>
  <c r="AD15" i="2" s="1"/>
  <c r="AF225" i="1"/>
  <c r="AE15" i="2" s="1"/>
  <c r="AG225" i="1"/>
  <c r="AF15" i="2" s="1"/>
  <c r="AH225" i="1"/>
  <c r="AG15" i="2" s="1"/>
  <c r="AI225" i="1"/>
  <c r="AH15" i="2" s="1"/>
  <c r="AJ225" i="1"/>
  <c r="AI15" i="2" s="1"/>
  <c r="AK225" i="1"/>
  <c r="AJ15" i="2" s="1"/>
  <c r="AL225" i="1"/>
  <c r="AK15" i="2" s="1"/>
  <c r="AM225" i="1"/>
  <c r="AL15" i="2" s="1"/>
  <c r="AN225" i="1"/>
  <c r="AM15" i="2" s="1"/>
  <c r="AO225" i="1"/>
  <c r="AN15" i="2" s="1"/>
  <c r="AP225" i="1"/>
  <c r="AO15" i="2" s="1"/>
  <c r="AQ225" i="1"/>
  <c r="AP15" i="2" s="1"/>
  <c r="AR225" i="1"/>
  <c r="AQ15" i="2" s="1"/>
  <c r="AS225" i="1"/>
  <c r="AR15" i="2" s="1"/>
  <c r="AT225" i="1"/>
  <c r="AS15" i="2" s="1"/>
  <c r="AU225" i="1"/>
  <c r="AT15" i="2" s="1"/>
  <c r="AV225" i="1"/>
  <c r="AU15" i="2" s="1"/>
  <c r="AW225" i="1"/>
  <c r="AV15" i="2" s="1"/>
  <c r="AX225" i="1"/>
  <c r="AW15" i="2" s="1"/>
  <c r="AY225" i="1"/>
  <c r="AX15" i="2" s="1"/>
  <c r="AZ225" i="1"/>
  <c r="AY15" i="2" s="1"/>
  <c r="BA225" i="1"/>
  <c r="AZ15" i="2" s="1"/>
  <c r="BB225" i="1"/>
  <c r="BA15" i="2" s="1"/>
  <c r="BC225" i="1"/>
  <c r="BB15" i="2" s="1"/>
  <c r="BD225" i="1"/>
  <c r="BC15" i="2" s="1"/>
  <c r="BE225" i="1"/>
  <c r="BD15" i="2" s="1"/>
  <c r="BF225" i="1"/>
  <c r="BE15" i="2" s="1"/>
  <c r="BG225" i="1"/>
  <c r="BF15" i="2" s="1"/>
  <c r="BH225" i="1"/>
  <c r="BG15" i="2" s="1"/>
  <c r="D225" i="1"/>
  <c r="D15" i="2" s="1"/>
  <c r="Q5" i="1"/>
  <c r="P4" i="2" s="1"/>
  <c r="R5" i="1"/>
  <c r="Q4" i="2" s="1"/>
  <c r="G18" i="2"/>
  <c r="H18" i="2"/>
  <c r="I18" i="2"/>
  <c r="O18" i="2"/>
  <c r="P18" i="2"/>
  <c r="Q18" i="2"/>
  <c r="R18" i="2"/>
  <c r="S18" i="2"/>
  <c r="T18" i="2"/>
  <c r="U18" i="2"/>
  <c r="V18" i="2"/>
  <c r="W18" i="2"/>
  <c r="X18" i="2"/>
  <c r="Y18" i="2"/>
  <c r="AA18" i="2"/>
  <c r="AB18" i="2"/>
  <c r="AC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D18" i="2"/>
  <c r="J268" i="1"/>
  <c r="J173" i="1"/>
  <c r="BM173" i="1" s="1"/>
  <c r="BM268" i="1" l="1"/>
  <c r="AD18" i="2"/>
  <c r="BJ225" i="1"/>
  <c r="D97" i="1" l="1"/>
  <c r="BJ97" i="1" s="1"/>
  <c r="BJ907" i="1" l="1"/>
  <c r="G638" i="1" l="1"/>
  <c r="E7" i="2" l="1"/>
  <c r="H7" i="2"/>
  <c r="I7" i="2"/>
  <c r="AR60" i="1"/>
  <c r="AR92" i="1"/>
  <c r="BM92" i="1" s="1"/>
  <c r="BM60" i="1" l="1"/>
  <c r="BR856" i="1"/>
  <c r="G160" i="1" l="1"/>
  <c r="E947" i="1" l="1"/>
  <c r="E34" i="2" s="1"/>
  <c r="F947" i="1"/>
  <c r="F34" i="2" s="1"/>
  <c r="H947" i="1"/>
  <c r="H34" i="2" s="1"/>
  <c r="I947" i="1"/>
  <c r="I34" i="2" s="1"/>
  <c r="K947" i="1"/>
  <c r="L947" i="1"/>
  <c r="P947" i="1"/>
  <c r="O34" i="2" s="1"/>
  <c r="Q947" i="1"/>
  <c r="P34" i="2" s="1"/>
  <c r="R947" i="1"/>
  <c r="Q34" i="2" s="1"/>
  <c r="S947" i="1"/>
  <c r="R34" i="2" s="1"/>
  <c r="T947" i="1"/>
  <c r="S34" i="2" s="1"/>
  <c r="U947" i="1"/>
  <c r="T34" i="2" s="1"/>
  <c r="V947" i="1"/>
  <c r="U34" i="2" s="1"/>
  <c r="W947" i="1"/>
  <c r="V34" i="2" s="1"/>
  <c r="X947" i="1"/>
  <c r="W34" i="2" s="1"/>
  <c r="Y947" i="1"/>
  <c r="X34" i="2" s="1"/>
  <c r="AA947" i="1"/>
  <c r="Z34" i="2" s="1"/>
  <c r="AB947" i="1"/>
  <c r="AA34" i="2" s="1"/>
  <c r="AC947" i="1"/>
  <c r="AB34" i="2" s="1"/>
  <c r="AD947" i="1"/>
  <c r="AC34" i="2" s="1"/>
  <c r="AE947" i="1"/>
  <c r="AD34" i="2" s="1"/>
  <c r="AF947" i="1"/>
  <c r="AE34" i="2" s="1"/>
  <c r="AG947" i="1"/>
  <c r="AF34" i="2" s="1"/>
  <c r="AH947" i="1"/>
  <c r="AG34" i="2" s="1"/>
  <c r="AI947" i="1"/>
  <c r="AH34" i="2" s="1"/>
  <c r="AJ947" i="1"/>
  <c r="AI34" i="2" s="1"/>
  <c r="AK947" i="1"/>
  <c r="AJ34" i="2" s="1"/>
  <c r="AL947" i="1"/>
  <c r="AK34" i="2" s="1"/>
  <c r="AM947" i="1"/>
  <c r="AL34" i="2" s="1"/>
  <c r="AN947" i="1"/>
  <c r="AM34" i="2" s="1"/>
  <c r="AO947" i="1"/>
  <c r="AN34" i="2" s="1"/>
  <c r="AP947" i="1"/>
  <c r="AO34" i="2" s="1"/>
  <c r="AQ947" i="1"/>
  <c r="AP34" i="2" s="1"/>
  <c r="AR947" i="1"/>
  <c r="AQ34" i="2" s="1"/>
  <c r="AS947" i="1"/>
  <c r="AR34" i="2" s="1"/>
  <c r="AT947" i="1"/>
  <c r="AS34" i="2" s="1"/>
  <c r="AU947" i="1"/>
  <c r="AT34" i="2" s="1"/>
  <c r="AV947" i="1"/>
  <c r="AU34" i="2" s="1"/>
  <c r="AW947" i="1"/>
  <c r="AV34" i="2" s="1"/>
  <c r="AX947" i="1"/>
  <c r="AW34" i="2" s="1"/>
  <c r="AY947" i="1"/>
  <c r="AX34" i="2" s="1"/>
  <c r="AZ947" i="1"/>
  <c r="AY34" i="2" s="1"/>
  <c r="BA947" i="1"/>
  <c r="AZ34" i="2" s="1"/>
  <c r="BB947" i="1"/>
  <c r="BA34" i="2" s="1"/>
  <c r="BC947" i="1"/>
  <c r="BB34" i="2" s="1"/>
  <c r="BD947" i="1"/>
  <c r="BC34" i="2" s="1"/>
  <c r="BE947" i="1"/>
  <c r="BD34" i="2" s="1"/>
  <c r="BF947" i="1"/>
  <c r="BE34" i="2" s="1"/>
  <c r="BG947" i="1"/>
  <c r="BF34" i="2" s="1"/>
  <c r="BH947" i="1"/>
  <c r="BG34" i="2" s="1"/>
  <c r="D947" i="1"/>
  <c r="D34" i="2" s="1"/>
  <c r="E607" i="1"/>
  <c r="E27" i="2" s="1"/>
  <c r="I607" i="1"/>
  <c r="I27" i="2" s="1"/>
  <c r="K607" i="1"/>
  <c r="L607" i="1"/>
  <c r="P607" i="1"/>
  <c r="O27" i="2" s="1"/>
  <c r="Q607" i="1"/>
  <c r="P27" i="2" s="1"/>
  <c r="R607" i="1"/>
  <c r="Q27" i="2" s="1"/>
  <c r="S607" i="1"/>
  <c r="R27" i="2" s="1"/>
  <c r="T607" i="1"/>
  <c r="S27" i="2" s="1"/>
  <c r="U607" i="1"/>
  <c r="T27" i="2" s="1"/>
  <c r="V607" i="1"/>
  <c r="U27" i="2" s="1"/>
  <c r="W607" i="1"/>
  <c r="V27" i="2" s="1"/>
  <c r="X607" i="1"/>
  <c r="W27" i="2" s="1"/>
  <c r="Y607" i="1"/>
  <c r="X27" i="2" s="1"/>
  <c r="Z607" i="1"/>
  <c r="Y27" i="2" s="1"/>
  <c r="AA607" i="1"/>
  <c r="Z27" i="2" s="1"/>
  <c r="AC607" i="1"/>
  <c r="AB27" i="2" s="1"/>
  <c r="AD607" i="1"/>
  <c r="AC27" i="2" s="1"/>
  <c r="AE607" i="1"/>
  <c r="AD27" i="2" s="1"/>
  <c r="AF607" i="1"/>
  <c r="AE27" i="2" s="1"/>
  <c r="AG607" i="1"/>
  <c r="AF27" i="2" s="1"/>
  <c r="AH607" i="1"/>
  <c r="AG27" i="2" s="1"/>
  <c r="AI607" i="1"/>
  <c r="AH27" i="2" s="1"/>
  <c r="AJ607" i="1"/>
  <c r="AI27" i="2" s="1"/>
  <c r="AK607" i="1"/>
  <c r="AJ27" i="2" s="1"/>
  <c r="AL607" i="1"/>
  <c r="AK27" i="2" s="1"/>
  <c r="AM607" i="1"/>
  <c r="AL27" i="2" s="1"/>
  <c r="AN607" i="1"/>
  <c r="AM27" i="2" s="1"/>
  <c r="AO607" i="1"/>
  <c r="AN27" i="2" s="1"/>
  <c r="AP607" i="1"/>
  <c r="AO27" i="2" s="1"/>
  <c r="AQ607" i="1"/>
  <c r="AP27" i="2" s="1"/>
  <c r="AR607" i="1"/>
  <c r="AQ27" i="2" s="1"/>
  <c r="AS607" i="1"/>
  <c r="AR27" i="2" s="1"/>
  <c r="AT607" i="1"/>
  <c r="AS27" i="2" s="1"/>
  <c r="AU607" i="1"/>
  <c r="AT27" i="2" s="1"/>
  <c r="AV607" i="1"/>
  <c r="AU27" i="2" s="1"/>
  <c r="AW607" i="1"/>
  <c r="AV27" i="2" s="1"/>
  <c r="AX607" i="1"/>
  <c r="AW27" i="2" s="1"/>
  <c r="AY607" i="1"/>
  <c r="AX27" i="2" s="1"/>
  <c r="AZ607" i="1"/>
  <c r="AY27" i="2" s="1"/>
  <c r="BA607" i="1"/>
  <c r="AZ27" i="2" s="1"/>
  <c r="BB607" i="1"/>
  <c r="BA27" i="2" s="1"/>
  <c r="BC607" i="1"/>
  <c r="BB27" i="2" s="1"/>
  <c r="BD607" i="1"/>
  <c r="BC27" i="2" s="1"/>
  <c r="BE607" i="1"/>
  <c r="BD27" i="2" s="1"/>
  <c r="BF607" i="1"/>
  <c r="BE27" i="2" s="1"/>
  <c r="BG607" i="1"/>
  <c r="BF27" i="2" s="1"/>
  <c r="D607" i="1"/>
  <c r="D27" i="2" s="1"/>
  <c r="E14" i="2"/>
  <c r="K14" i="2"/>
  <c r="L14" i="2"/>
  <c r="O14" i="2"/>
  <c r="Q14" i="2"/>
  <c r="R14" i="2"/>
  <c r="S14" i="2"/>
  <c r="T14" i="2"/>
  <c r="V14" i="2"/>
  <c r="X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B14" i="2"/>
  <c r="BE14" i="2"/>
  <c r="BF14" i="2"/>
  <c r="G953" i="1"/>
  <c r="G35" i="2" s="1"/>
  <c r="H953" i="1"/>
  <c r="H35" i="2" s="1"/>
  <c r="I953" i="1"/>
  <c r="I35" i="2" s="1"/>
  <c r="K953" i="1"/>
  <c r="L953" i="1"/>
  <c r="P953" i="1"/>
  <c r="O35" i="2" s="1"/>
  <c r="Q953" i="1"/>
  <c r="P35" i="2" s="1"/>
  <c r="R953" i="1"/>
  <c r="Q35" i="2" s="1"/>
  <c r="S953" i="1"/>
  <c r="R35" i="2" s="1"/>
  <c r="T953" i="1"/>
  <c r="S35" i="2" s="1"/>
  <c r="U953" i="1"/>
  <c r="T35" i="2" s="1"/>
  <c r="V953" i="1"/>
  <c r="U35" i="2" s="1"/>
  <c r="W953" i="1"/>
  <c r="V35" i="2" s="1"/>
  <c r="X953" i="1"/>
  <c r="W35" i="2" s="1"/>
  <c r="Y953" i="1"/>
  <c r="X35" i="2" s="1"/>
  <c r="Z953" i="1"/>
  <c r="Y35" i="2" s="1"/>
  <c r="AA953" i="1"/>
  <c r="Z35" i="2" s="1"/>
  <c r="AB953" i="1"/>
  <c r="AA35" i="2" s="1"/>
  <c r="AC953" i="1"/>
  <c r="AB35" i="2" s="1"/>
  <c r="AD953" i="1"/>
  <c r="AC35" i="2" s="1"/>
  <c r="AE953" i="1"/>
  <c r="AD35" i="2" s="1"/>
  <c r="AF953" i="1"/>
  <c r="AE35" i="2" s="1"/>
  <c r="AG953" i="1"/>
  <c r="AF35" i="2" s="1"/>
  <c r="AH953" i="1"/>
  <c r="AG35" i="2" s="1"/>
  <c r="AI953" i="1"/>
  <c r="AH35" i="2" s="1"/>
  <c r="AJ953" i="1"/>
  <c r="AI35" i="2" s="1"/>
  <c r="AK953" i="1"/>
  <c r="AJ35" i="2" s="1"/>
  <c r="AL953" i="1"/>
  <c r="AK35" i="2" s="1"/>
  <c r="AM953" i="1"/>
  <c r="AL35" i="2" s="1"/>
  <c r="AN953" i="1"/>
  <c r="AM35" i="2" s="1"/>
  <c r="AO953" i="1"/>
  <c r="AN35" i="2" s="1"/>
  <c r="AP953" i="1"/>
  <c r="AO35" i="2" s="1"/>
  <c r="AQ953" i="1"/>
  <c r="AP35" i="2" s="1"/>
  <c r="AR953" i="1"/>
  <c r="AQ35" i="2" s="1"/>
  <c r="AS953" i="1"/>
  <c r="AR35" i="2" s="1"/>
  <c r="AT953" i="1"/>
  <c r="AS35" i="2" s="1"/>
  <c r="AU953" i="1"/>
  <c r="AT35" i="2" s="1"/>
  <c r="AV953" i="1"/>
  <c r="AU35" i="2" s="1"/>
  <c r="AW953" i="1"/>
  <c r="AV35" i="2" s="1"/>
  <c r="AX953" i="1"/>
  <c r="AW35" i="2" s="1"/>
  <c r="AY953" i="1"/>
  <c r="AX35" i="2" s="1"/>
  <c r="AZ953" i="1"/>
  <c r="AY35" i="2" s="1"/>
  <c r="BA953" i="1"/>
  <c r="AZ35" i="2" s="1"/>
  <c r="BB953" i="1"/>
  <c r="BA35" i="2" s="1"/>
  <c r="BC953" i="1"/>
  <c r="BB35" i="2" s="1"/>
  <c r="BD953" i="1"/>
  <c r="BC35" i="2" s="1"/>
  <c r="BF953" i="1"/>
  <c r="BE35" i="2" s="1"/>
  <c r="BG953" i="1"/>
  <c r="BF35" i="2" s="1"/>
  <c r="BH953" i="1"/>
  <c r="BG35" i="2" s="1"/>
  <c r="E240" i="1"/>
  <c r="E16" i="2" s="1"/>
  <c r="F240" i="1"/>
  <c r="F16" i="2" s="1"/>
  <c r="G240" i="1"/>
  <c r="G16" i="2" s="1"/>
  <c r="H240" i="1"/>
  <c r="H16" i="2" s="1"/>
  <c r="I240" i="1"/>
  <c r="I16" i="2" s="1"/>
  <c r="K240" i="1"/>
  <c r="K16" i="2" s="1"/>
  <c r="L240" i="1"/>
  <c r="L16" i="2" s="1"/>
  <c r="P240" i="1"/>
  <c r="O16" i="2" s="1"/>
  <c r="Q240" i="1"/>
  <c r="P16" i="2" s="1"/>
  <c r="R240" i="1"/>
  <c r="Q16" i="2" s="1"/>
  <c r="S240" i="1"/>
  <c r="R16" i="2" s="1"/>
  <c r="T240" i="1"/>
  <c r="S16" i="2" s="1"/>
  <c r="U240" i="1"/>
  <c r="T16" i="2" s="1"/>
  <c r="W240" i="1"/>
  <c r="V16" i="2" s="1"/>
  <c r="X240" i="1"/>
  <c r="W16" i="2" s="1"/>
  <c r="Y240" i="1"/>
  <c r="X16" i="2" s="1"/>
  <c r="Z240" i="1"/>
  <c r="Y16" i="2" s="1"/>
  <c r="AA240" i="1"/>
  <c r="Z16" i="2" s="1"/>
  <c r="AB240" i="1"/>
  <c r="AA16" i="2" s="1"/>
  <c r="AC240" i="1"/>
  <c r="AB16" i="2" s="1"/>
  <c r="AD240" i="1"/>
  <c r="AC16" i="2" s="1"/>
  <c r="AE240" i="1"/>
  <c r="AD16" i="2" s="1"/>
  <c r="AF240" i="1"/>
  <c r="AE16" i="2" s="1"/>
  <c r="AG240" i="1"/>
  <c r="AF16" i="2" s="1"/>
  <c r="AH240" i="1"/>
  <c r="AG16" i="2" s="1"/>
  <c r="AI240" i="1"/>
  <c r="AH16" i="2" s="1"/>
  <c r="AJ240" i="1"/>
  <c r="AI16" i="2" s="1"/>
  <c r="AK240" i="1"/>
  <c r="AJ16" i="2" s="1"/>
  <c r="AL240" i="1"/>
  <c r="AK16" i="2" s="1"/>
  <c r="AM240" i="1"/>
  <c r="AL16" i="2" s="1"/>
  <c r="AN240" i="1"/>
  <c r="AM16" i="2" s="1"/>
  <c r="AO240" i="1"/>
  <c r="AN16" i="2" s="1"/>
  <c r="AP240" i="1"/>
  <c r="AO16" i="2" s="1"/>
  <c r="AQ240" i="1"/>
  <c r="AP16" i="2" s="1"/>
  <c r="AR240" i="1"/>
  <c r="AQ16" i="2" s="1"/>
  <c r="AS240" i="1"/>
  <c r="AR16" i="2" s="1"/>
  <c r="AT240" i="1"/>
  <c r="AS16" i="2" s="1"/>
  <c r="AU240" i="1"/>
  <c r="AT16" i="2" s="1"/>
  <c r="AV240" i="1"/>
  <c r="AU16" i="2" s="1"/>
  <c r="AW240" i="1"/>
  <c r="AV16" i="2" s="1"/>
  <c r="AX240" i="1"/>
  <c r="AW16" i="2" s="1"/>
  <c r="AY240" i="1"/>
  <c r="AX16" i="2" s="1"/>
  <c r="AZ240" i="1"/>
  <c r="AY16" i="2" s="1"/>
  <c r="BA240" i="1"/>
  <c r="AZ16" i="2" s="1"/>
  <c r="BB240" i="1"/>
  <c r="BA16" i="2" s="1"/>
  <c r="BC240" i="1"/>
  <c r="BB16" i="2" s="1"/>
  <c r="BD240" i="1"/>
  <c r="BC16" i="2" s="1"/>
  <c r="BE240" i="1"/>
  <c r="BD16" i="2" s="1"/>
  <c r="BF240" i="1"/>
  <c r="BE16" i="2" s="1"/>
  <c r="BG240" i="1"/>
  <c r="BF16" i="2" s="1"/>
  <c r="BH240" i="1"/>
  <c r="BG16" i="2" s="1"/>
  <c r="BJ240" i="1" l="1"/>
  <c r="BJ947" i="1"/>
  <c r="E152" i="1"/>
  <c r="E12" i="2" s="1"/>
  <c r="F152" i="1"/>
  <c r="F12" i="2" s="1"/>
  <c r="G152" i="1"/>
  <c r="G12" i="2" s="1"/>
  <c r="H152" i="1"/>
  <c r="H12" i="2" s="1"/>
  <c r="I152" i="1"/>
  <c r="I12" i="2" s="1"/>
  <c r="J152" i="1"/>
  <c r="K152" i="1"/>
  <c r="K12" i="2" s="1"/>
  <c r="M152" i="1"/>
  <c r="P152" i="1"/>
  <c r="O12" i="2" s="1"/>
  <c r="Q152" i="1"/>
  <c r="P12" i="2" s="1"/>
  <c r="R152" i="1"/>
  <c r="Q12" i="2" s="1"/>
  <c r="S152" i="1"/>
  <c r="R12" i="2" s="1"/>
  <c r="T152" i="1"/>
  <c r="S12" i="2" s="1"/>
  <c r="U152" i="1"/>
  <c r="T12" i="2" s="1"/>
  <c r="V152" i="1"/>
  <c r="U12" i="2" s="1"/>
  <c r="W152" i="1"/>
  <c r="V12" i="2" s="1"/>
  <c r="X152" i="1"/>
  <c r="W12" i="2" s="1"/>
  <c r="Y152" i="1"/>
  <c r="X12" i="2" s="1"/>
  <c r="Z152" i="1"/>
  <c r="Y12" i="2" s="1"/>
  <c r="AA152" i="1"/>
  <c r="Z12" i="2" s="1"/>
  <c r="AB152" i="1"/>
  <c r="AA12" i="2" s="1"/>
  <c r="AC152" i="1"/>
  <c r="AB12" i="2" s="1"/>
  <c r="AD152" i="1"/>
  <c r="AC12" i="2" s="1"/>
  <c r="AE152" i="1"/>
  <c r="AD12" i="2" s="1"/>
  <c r="AF152" i="1"/>
  <c r="AE12" i="2" s="1"/>
  <c r="AG152" i="1"/>
  <c r="AF12" i="2" s="1"/>
  <c r="AH152" i="1"/>
  <c r="AG12" i="2" s="1"/>
  <c r="AI152" i="1"/>
  <c r="AH12" i="2" s="1"/>
  <c r="AJ152" i="1"/>
  <c r="AI12" i="2" s="1"/>
  <c r="AK152" i="1"/>
  <c r="AJ12" i="2" s="1"/>
  <c r="AL152" i="1"/>
  <c r="AK12" i="2" s="1"/>
  <c r="AM152" i="1"/>
  <c r="AL12" i="2" s="1"/>
  <c r="AN152" i="1"/>
  <c r="AM12" i="2" s="1"/>
  <c r="AO152" i="1"/>
  <c r="AN12" i="2" s="1"/>
  <c r="AP152" i="1"/>
  <c r="AO12" i="2" s="1"/>
  <c r="AQ152" i="1"/>
  <c r="AP12" i="2" s="1"/>
  <c r="AR152" i="1"/>
  <c r="AQ12" i="2" s="1"/>
  <c r="AS152" i="1"/>
  <c r="AR12" i="2" s="1"/>
  <c r="AT152" i="1"/>
  <c r="AS12" i="2" s="1"/>
  <c r="AU152" i="1"/>
  <c r="AT12" i="2" s="1"/>
  <c r="AV152" i="1"/>
  <c r="AU12" i="2" s="1"/>
  <c r="AW152" i="1"/>
  <c r="AV12" i="2" s="1"/>
  <c r="AX152" i="1"/>
  <c r="AW12" i="2" s="1"/>
  <c r="AY152" i="1"/>
  <c r="AX12" i="2" s="1"/>
  <c r="AZ152" i="1"/>
  <c r="AY12" i="2" s="1"/>
  <c r="BA152" i="1"/>
  <c r="AZ12" i="2" s="1"/>
  <c r="BB152" i="1"/>
  <c r="BA12" i="2" s="1"/>
  <c r="BC152" i="1"/>
  <c r="BB12" i="2" s="1"/>
  <c r="BD152" i="1"/>
  <c r="BC12" i="2" s="1"/>
  <c r="BE152" i="1"/>
  <c r="BD12" i="2" s="1"/>
  <c r="BF152" i="1"/>
  <c r="BE12" i="2" s="1"/>
  <c r="BG152" i="1"/>
  <c r="BF12" i="2" s="1"/>
  <c r="BH152" i="1"/>
  <c r="BG12" i="2" s="1"/>
  <c r="D152" i="1"/>
  <c r="D12" i="2" s="1"/>
  <c r="E18" i="1"/>
  <c r="E6" i="2" s="1"/>
  <c r="G18" i="1"/>
  <c r="G6" i="2" s="1"/>
  <c r="H18" i="1"/>
  <c r="H6" i="2" s="1"/>
  <c r="I18" i="1"/>
  <c r="I6" i="2" s="1"/>
  <c r="K18" i="1"/>
  <c r="K6" i="2" s="1"/>
  <c r="L18" i="1"/>
  <c r="L6" i="2" s="1"/>
  <c r="P18" i="1"/>
  <c r="O6" i="2" s="1"/>
  <c r="Q18" i="1"/>
  <c r="P6" i="2" s="1"/>
  <c r="R18" i="1"/>
  <c r="Q6" i="2" s="1"/>
  <c r="S18" i="1"/>
  <c r="R6" i="2" s="1"/>
  <c r="T18" i="1"/>
  <c r="S6" i="2" s="1"/>
  <c r="U18" i="1"/>
  <c r="T6" i="2" s="1"/>
  <c r="V18" i="1"/>
  <c r="U6" i="2" s="1"/>
  <c r="W18" i="1"/>
  <c r="V6" i="2" s="1"/>
  <c r="X18" i="1"/>
  <c r="W6" i="2" s="1"/>
  <c r="Y18" i="1"/>
  <c r="X6" i="2" s="1"/>
  <c r="Z18" i="1"/>
  <c r="Y6" i="2" s="1"/>
  <c r="AA18" i="1"/>
  <c r="Z6" i="2" s="1"/>
  <c r="AB18" i="1"/>
  <c r="AA6" i="2" s="1"/>
  <c r="AC18" i="1"/>
  <c r="AB6" i="2" s="1"/>
  <c r="AD18" i="1"/>
  <c r="AC6" i="2" s="1"/>
  <c r="AE18" i="1"/>
  <c r="AD6" i="2" s="1"/>
  <c r="AF18" i="1"/>
  <c r="AE6" i="2" s="1"/>
  <c r="AG18" i="1"/>
  <c r="AF6" i="2" s="1"/>
  <c r="AH18" i="1"/>
  <c r="AG6" i="2" s="1"/>
  <c r="AI18" i="1"/>
  <c r="AH6" i="2" s="1"/>
  <c r="AJ18" i="1"/>
  <c r="AI6" i="2" s="1"/>
  <c r="AK18" i="1"/>
  <c r="AJ6" i="2" s="1"/>
  <c r="AL18" i="1"/>
  <c r="AK6" i="2" s="1"/>
  <c r="AM18" i="1"/>
  <c r="AL6" i="2" s="1"/>
  <c r="AN18" i="1"/>
  <c r="AM6" i="2" s="1"/>
  <c r="AO18" i="1"/>
  <c r="AN6" i="2" s="1"/>
  <c r="AP18" i="1"/>
  <c r="AO6" i="2" s="1"/>
  <c r="AQ18" i="1"/>
  <c r="AP6" i="2" s="1"/>
  <c r="AR18" i="1"/>
  <c r="AQ6" i="2" s="1"/>
  <c r="AS18" i="1"/>
  <c r="AR6" i="2" s="1"/>
  <c r="AT18" i="1"/>
  <c r="AS6" i="2" s="1"/>
  <c r="AU18" i="1"/>
  <c r="AT6" i="2" s="1"/>
  <c r="AV18" i="1"/>
  <c r="AU6" i="2" s="1"/>
  <c r="AW18" i="1"/>
  <c r="AV6" i="2" s="1"/>
  <c r="AX18" i="1"/>
  <c r="AW6" i="2" s="1"/>
  <c r="AY18" i="1"/>
  <c r="AX6" i="2" s="1"/>
  <c r="AZ18" i="1"/>
  <c r="AY6" i="2" s="1"/>
  <c r="BA18" i="1"/>
  <c r="AZ6" i="2" s="1"/>
  <c r="BB18" i="1"/>
  <c r="BA6" i="2" s="1"/>
  <c r="BC18" i="1"/>
  <c r="BB6" i="2" s="1"/>
  <c r="BD18" i="1"/>
  <c r="BC6" i="2" s="1"/>
  <c r="BE18" i="1"/>
  <c r="BD6" i="2" s="1"/>
  <c r="BF18" i="1"/>
  <c r="BE6" i="2" s="1"/>
  <c r="BG18" i="1"/>
  <c r="BF6" i="2" s="1"/>
  <c r="BH18" i="1"/>
  <c r="BG6" i="2" s="1"/>
  <c r="E32" i="2"/>
  <c r="I32" i="2"/>
  <c r="O32" i="2"/>
  <c r="Q32" i="2"/>
  <c r="R32" i="2"/>
  <c r="S32" i="2"/>
  <c r="T32" i="2"/>
  <c r="U32" i="2"/>
  <c r="V32" i="2"/>
  <c r="X32" i="2"/>
  <c r="AB32" i="2"/>
  <c r="AC32" i="2"/>
  <c r="AD32" i="2"/>
  <c r="AE32" i="2"/>
  <c r="AF32" i="2"/>
  <c r="AG32" i="2"/>
  <c r="AH32" i="2"/>
  <c r="AI32" i="2"/>
  <c r="AJ32" i="2"/>
  <c r="AK32" i="2"/>
  <c r="AL32" i="2"/>
  <c r="AM32" i="2"/>
  <c r="AO32" i="2"/>
  <c r="AQ32" i="2"/>
  <c r="AR32" i="2"/>
  <c r="AS32" i="2"/>
  <c r="AT32" i="2"/>
  <c r="AU32" i="2"/>
  <c r="AV32" i="2"/>
  <c r="AW32" i="2"/>
  <c r="AX32" i="2"/>
  <c r="AY32" i="2"/>
  <c r="AZ32" i="2"/>
  <c r="BA32" i="2"/>
  <c r="BB32" i="2"/>
  <c r="BE32" i="2"/>
  <c r="BF32" i="2"/>
  <c r="E934" i="1"/>
  <c r="E33" i="2" s="1"/>
  <c r="F934" i="1"/>
  <c r="F33" i="2" s="1"/>
  <c r="H934" i="1"/>
  <c r="H33" i="2" s="1"/>
  <c r="I934" i="1"/>
  <c r="I33" i="2" s="1"/>
  <c r="J934" i="1"/>
  <c r="K934" i="1"/>
  <c r="L934" i="1"/>
  <c r="P934" i="1"/>
  <c r="O33" i="2" s="1"/>
  <c r="Q934" i="1"/>
  <c r="P33" i="2" s="1"/>
  <c r="R934" i="1"/>
  <c r="Q33" i="2" s="1"/>
  <c r="S934" i="1"/>
  <c r="R33" i="2" s="1"/>
  <c r="T934" i="1"/>
  <c r="S33" i="2" s="1"/>
  <c r="U934" i="1"/>
  <c r="T33" i="2" s="1"/>
  <c r="V934" i="1"/>
  <c r="U33" i="2" s="1"/>
  <c r="W934" i="1"/>
  <c r="V33" i="2" s="1"/>
  <c r="X934" i="1"/>
  <c r="W33" i="2" s="1"/>
  <c r="Y934" i="1"/>
  <c r="X33" i="2" s="1"/>
  <c r="Z934" i="1"/>
  <c r="Y33" i="2" s="1"/>
  <c r="AA934" i="1"/>
  <c r="Z33" i="2" s="1"/>
  <c r="AB934" i="1"/>
  <c r="AA33" i="2" s="1"/>
  <c r="AC934" i="1"/>
  <c r="AB33" i="2" s="1"/>
  <c r="AD934" i="1"/>
  <c r="AC33" i="2" s="1"/>
  <c r="AE934" i="1"/>
  <c r="AD33" i="2" s="1"/>
  <c r="AF934" i="1"/>
  <c r="AE33" i="2" s="1"/>
  <c r="AG934" i="1"/>
  <c r="AF33" i="2" s="1"/>
  <c r="AH934" i="1"/>
  <c r="AG33" i="2" s="1"/>
  <c r="AI934" i="1"/>
  <c r="AH33" i="2" s="1"/>
  <c r="AJ934" i="1"/>
  <c r="AI33" i="2" s="1"/>
  <c r="AK934" i="1"/>
  <c r="AJ33" i="2" s="1"/>
  <c r="AL934" i="1"/>
  <c r="AK33" i="2" s="1"/>
  <c r="AM934" i="1"/>
  <c r="AL33" i="2" s="1"/>
  <c r="AN934" i="1"/>
  <c r="AM33" i="2" s="1"/>
  <c r="AO934" i="1"/>
  <c r="AN33" i="2" s="1"/>
  <c r="AP934" i="1"/>
  <c r="AO33" i="2" s="1"/>
  <c r="AQ934" i="1"/>
  <c r="AP33" i="2" s="1"/>
  <c r="AR934" i="1"/>
  <c r="AQ33" i="2" s="1"/>
  <c r="AS934" i="1"/>
  <c r="AR33" i="2" s="1"/>
  <c r="AT934" i="1"/>
  <c r="AS33" i="2" s="1"/>
  <c r="AU934" i="1"/>
  <c r="AT33" i="2" s="1"/>
  <c r="AV934" i="1"/>
  <c r="AU33" i="2" s="1"/>
  <c r="AW934" i="1"/>
  <c r="AV33" i="2" s="1"/>
  <c r="AX934" i="1"/>
  <c r="AW33" i="2" s="1"/>
  <c r="AY934" i="1"/>
  <c r="AX33" i="2" s="1"/>
  <c r="AZ934" i="1"/>
  <c r="AY33" i="2" s="1"/>
  <c r="BA934" i="1"/>
  <c r="AZ33" i="2" s="1"/>
  <c r="BB934" i="1"/>
  <c r="BA33" i="2" s="1"/>
  <c r="BC934" i="1"/>
  <c r="BB33" i="2" s="1"/>
  <c r="BD934" i="1"/>
  <c r="BC33" i="2" s="1"/>
  <c r="BE934" i="1"/>
  <c r="BD33" i="2" s="1"/>
  <c r="BF934" i="1"/>
  <c r="BE33" i="2" s="1"/>
  <c r="BG934" i="1"/>
  <c r="BF33" i="2" s="1"/>
  <c r="BH934" i="1"/>
  <c r="BG33" i="2" s="1"/>
  <c r="D934" i="1"/>
  <c r="D33" i="2" s="1"/>
  <c r="AO7" i="2"/>
  <c r="AP7" i="2"/>
  <c r="AR7" i="2"/>
  <c r="AS7" i="2"/>
  <c r="AT7" i="2"/>
  <c r="AU7" i="2"/>
  <c r="AV7" i="2"/>
  <c r="AW7" i="2"/>
  <c r="AX7" i="2"/>
  <c r="AY7" i="2"/>
  <c r="AZ7" i="2"/>
  <c r="BA7" i="2"/>
  <c r="BB7" i="2"/>
  <c r="BE7" i="2"/>
  <c r="BF7" i="2"/>
  <c r="K7" i="2"/>
  <c r="L7" i="2"/>
  <c r="O7" i="2"/>
  <c r="P7" i="2"/>
  <c r="Q7" i="2"/>
  <c r="R7" i="2"/>
  <c r="S7" i="2"/>
  <c r="T7" i="2"/>
  <c r="U7" i="2"/>
  <c r="V7" i="2"/>
  <c r="W7" i="2"/>
  <c r="X7" i="2"/>
  <c r="Y7" i="2"/>
  <c r="Z7" i="2"/>
  <c r="AB7" i="2"/>
  <c r="AC7" i="2"/>
  <c r="AD7" i="2"/>
  <c r="AE7" i="2"/>
  <c r="AF7" i="2"/>
  <c r="AG7" i="2"/>
  <c r="AH7" i="2"/>
  <c r="AI7" i="2"/>
  <c r="AJ7" i="2"/>
  <c r="AK7" i="2"/>
  <c r="AL7" i="2"/>
  <c r="AM7" i="2"/>
  <c r="AN7" i="2"/>
  <c r="H624" i="1"/>
  <c r="H28" i="2" s="1"/>
  <c r="I624" i="1"/>
  <c r="I28" i="2" s="1"/>
  <c r="K624" i="1"/>
  <c r="L624" i="1"/>
  <c r="P624" i="1"/>
  <c r="O28" i="2" s="1"/>
  <c r="Q624" i="1"/>
  <c r="P28" i="2" s="1"/>
  <c r="R624" i="1"/>
  <c r="Q28" i="2" s="1"/>
  <c r="S624" i="1"/>
  <c r="R28" i="2" s="1"/>
  <c r="T624" i="1"/>
  <c r="S28" i="2" s="1"/>
  <c r="U624" i="1"/>
  <c r="T28" i="2" s="1"/>
  <c r="V624" i="1"/>
  <c r="U28" i="2" s="1"/>
  <c r="W624" i="1"/>
  <c r="V28" i="2" s="1"/>
  <c r="X624" i="1"/>
  <c r="W28" i="2" s="1"/>
  <c r="Y624" i="1"/>
  <c r="X28" i="2" s="1"/>
  <c r="Z624" i="1"/>
  <c r="Y28" i="2" s="1"/>
  <c r="AA624" i="1"/>
  <c r="Z28" i="2" s="1"/>
  <c r="AB624" i="1"/>
  <c r="AA28" i="2" s="1"/>
  <c r="AC624" i="1"/>
  <c r="AB28" i="2" s="1"/>
  <c r="AD624" i="1"/>
  <c r="AC28" i="2" s="1"/>
  <c r="AE624" i="1"/>
  <c r="AD28" i="2" s="1"/>
  <c r="AF624" i="1"/>
  <c r="AE28" i="2" s="1"/>
  <c r="AG624" i="1"/>
  <c r="AF28" i="2" s="1"/>
  <c r="AH624" i="1"/>
  <c r="AG28" i="2" s="1"/>
  <c r="AI624" i="1"/>
  <c r="AH28" i="2" s="1"/>
  <c r="AJ624" i="1"/>
  <c r="AI28" i="2" s="1"/>
  <c r="AK624" i="1"/>
  <c r="AJ28" i="2" s="1"/>
  <c r="AL624" i="1"/>
  <c r="AK28" i="2" s="1"/>
  <c r="AM624" i="1"/>
  <c r="AL28" i="2" s="1"/>
  <c r="AN624" i="1"/>
  <c r="AM28" i="2" s="1"/>
  <c r="AO624" i="1"/>
  <c r="AN28" i="2" s="1"/>
  <c r="AP624" i="1"/>
  <c r="AO28" i="2" s="1"/>
  <c r="AR624" i="1"/>
  <c r="AQ28" i="2" s="1"/>
  <c r="AS624" i="1"/>
  <c r="AR28" i="2" s="1"/>
  <c r="AT624" i="1"/>
  <c r="AS28" i="2" s="1"/>
  <c r="AU624" i="1"/>
  <c r="AT28" i="2" s="1"/>
  <c r="AV624" i="1"/>
  <c r="AU28" i="2" s="1"/>
  <c r="AW624" i="1"/>
  <c r="AV28" i="2" s="1"/>
  <c r="AX624" i="1"/>
  <c r="AW28" i="2" s="1"/>
  <c r="AY624" i="1"/>
  <c r="AX28" i="2" s="1"/>
  <c r="AZ624" i="1"/>
  <c r="AY28" i="2" s="1"/>
  <c r="BA624" i="1"/>
  <c r="AZ28" i="2" s="1"/>
  <c r="BB624" i="1"/>
  <c r="BA28" i="2" s="1"/>
  <c r="BC624" i="1"/>
  <c r="BB28" i="2" s="1"/>
  <c r="BD624" i="1"/>
  <c r="BC28" i="2" s="1"/>
  <c r="BF624" i="1"/>
  <c r="BE28" i="2" s="1"/>
  <c r="BG624" i="1"/>
  <c r="BF28" i="2" s="1"/>
  <c r="E64" i="1"/>
  <c r="E9" i="2" s="1"/>
  <c r="H64" i="1"/>
  <c r="H9" i="2" s="1"/>
  <c r="I64" i="1"/>
  <c r="I9" i="2" s="1"/>
  <c r="K64" i="1"/>
  <c r="K9" i="2" s="1"/>
  <c r="L64" i="1"/>
  <c r="L9" i="2" s="1"/>
  <c r="P64" i="1"/>
  <c r="O9" i="2" s="1"/>
  <c r="Q64" i="1"/>
  <c r="P9" i="2" s="1"/>
  <c r="R64" i="1"/>
  <c r="Q9" i="2" s="1"/>
  <c r="S64" i="1"/>
  <c r="R9" i="2" s="1"/>
  <c r="T64" i="1"/>
  <c r="S9" i="2" s="1"/>
  <c r="U64" i="1"/>
  <c r="T9" i="2" s="1"/>
  <c r="W64" i="1"/>
  <c r="V9" i="2" s="1"/>
  <c r="Y64" i="1"/>
  <c r="X9" i="2" s="1"/>
  <c r="AC64" i="1"/>
  <c r="AB9" i="2" s="1"/>
  <c r="AD64" i="1"/>
  <c r="AC9" i="2" s="1"/>
  <c r="AE64" i="1"/>
  <c r="AD9" i="2" s="1"/>
  <c r="AF64" i="1"/>
  <c r="AE9" i="2" s="1"/>
  <c r="AG64" i="1"/>
  <c r="AF9" i="2" s="1"/>
  <c r="AH64" i="1"/>
  <c r="AG9" i="2" s="1"/>
  <c r="AI64" i="1"/>
  <c r="AH9" i="2" s="1"/>
  <c r="AJ64" i="1"/>
  <c r="AI9" i="2" s="1"/>
  <c r="AK64" i="1"/>
  <c r="AJ9" i="2" s="1"/>
  <c r="AL64" i="1"/>
  <c r="AK9" i="2" s="1"/>
  <c r="AM64" i="1"/>
  <c r="AL9" i="2" s="1"/>
  <c r="AN64" i="1"/>
  <c r="AM9" i="2" s="1"/>
  <c r="AO64" i="1"/>
  <c r="AN9" i="2" s="1"/>
  <c r="AP64" i="1"/>
  <c r="AO9" i="2" s="1"/>
  <c r="AQ64" i="1"/>
  <c r="AP9" i="2" s="1"/>
  <c r="AS64" i="1"/>
  <c r="AR9" i="2" s="1"/>
  <c r="AT64" i="1"/>
  <c r="AS9" i="2" s="1"/>
  <c r="AU64" i="1"/>
  <c r="AT9" i="2" s="1"/>
  <c r="AV64" i="1"/>
  <c r="AU9" i="2" s="1"/>
  <c r="AW64" i="1"/>
  <c r="AV9" i="2" s="1"/>
  <c r="AX64" i="1"/>
  <c r="AW9" i="2" s="1"/>
  <c r="AY64" i="1"/>
  <c r="AX9" i="2" s="1"/>
  <c r="AZ64" i="1"/>
  <c r="AY9" i="2" s="1"/>
  <c r="BA64" i="1"/>
  <c r="AZ9" i="2" s="1"/>
  <c r="BB64" i="1"/>
  <c r="BA9" i="2" s="1"/>
  <c r="BF64" i="1"/>
  <c r="BE9" i="2" s="1"/>
  <c r="BG64" i="1"/>
  <c r="BF9" i="2" s="1"/>
  <c r="J12" i="2" l="1"/>
  <c r="BM152" i="1"/>
  <c r="J33" i="2"/>
  <c r="BM934" i="1"/>
  <c r="BJ934" i="1"/>
  <c r="BJ152" i="1"/>
  <c r="G62" i="1"/>
  <c r="G8" i="2" s="1"/>
  <c r="H62" i="1"/>
  <c r="H8" i="2" s="1"/>
  <c r="I62" i="1"/>
  <c r="I8" i="2" s="1"/>
  <c r="P62" i="1"/>
  <c r="O8" i="2" s="1"/>
  <c r="Q62" i="1"/>
  <c r="P8" i="2" s="1"/>
  <c r="R62" i="1"/>
  <c r="Q8" i="2" s="1"/>
  <c r="S62" i="1"/>
  <c r="R8" i="2" s="1"/>
  <c r="T62" i="1"/>
  <c r="S8" i="2" s="1"/>
  <c r="U62" i="1"/>
  <c r="T8" i="2" s="1"/>
  <c r="V62" i="1"/>
  <c r="W62" i="1"/>
  <c r="V8" i="2" s="1"/>
  <c r="X62" i="1"/>
  <c r="W8" i="2" s="1"/>
  <c r="Y62" i="1"/>
  <c r="X8" i="2" s="1"/>
  <c r="Z62" i="1"/>
  <c r="Y8" i="2" s="1"/>
  <c r="AA62" i="1"/>
  <c r="Z8" i="2" s="1"/>
  <c r="AB62" i="1"/>
  <c r="AA8" i="2" s="1"/>
  <c r="AC62" i="1"/>
  <c r="AB8" i="2" s="1"/>
  <c r="AD62" i="1"/>
  <c r="AC8" i="2" s="1"/>
  <c r="AE62" i="1"/>
  <c r="AD8" i="2" s="1"/>
  <c r="AF62" i="1"/>
  <c r="AE8" i="2" s="1"/>
  <c r="AG62" i="1"/>
  <c r="AF8" i="2" s="1"/>
  <c r="AH62" i="1"/>
  <c r="AG8" i="2" s="1"/>
  <c r="AI62" i="1"/>
  <c r="AH8" i="2" s="1"/>
  <c r="AJ62" i="1"/>
  <c r="AI8" i="2" s="1"/>
  <c r="AK62" i="1"/>
  <c r="AJ8" i="2" s="1"/>
  <c r="AL62" i="1"/>
  <c r="AK8" i="2" s="1"/>
  <c r="AM62" i="1"/>
  <c r="AL8" i="2" s="1"/>
  <c r="AN62" i="1"/>
  <c r="AM8" i="2" s="1"/>
  <c r="AO62" i="1"/>
  <c r="AN8" i="2" s="1"/>
  <c r="AP62" i="1"/>
  <c r="AO8" i="2" s="1"/>
  <c r="AQ62" i="1"/>
  <c r="AP8" i="2" s="1"/>
  <c r="AR62" i="1"/>
  <c r="AQ8" i="2" s="1"/>
  <c r="AS62" i="1"/>
  <c r="AR8" i="2" s="1"/>
  <c r="AT62" i="1"/>
  <c r="AS8" i="2" s="1"/>
  <c r="AU62" i="1"/>
  <c r="AT8" i="2" s="1"/>
  <c r="AV62" i="1"/>
  <c r="AU8" i="2" s="1"/>
  <c r="AW62" i="1"/>
  <c r="AV8" i="2" s="1"/>
  <c r="AX62" i="1"/>
  <c r="AW8" i="2" s="1"/>
  <c r="AY62" i="1"/>
  <c r="AX8" i="2" s="1"/>
  <c r="AZ62" i="1"/>
  <c r="AY8" i="2" s="1"/>
  <c r="BA62" i="1"/>
  <c r="AZ8" i="2" s="1"/>
  <c r="BB62" i="1"/>
  <c r="BA8" i="2" s="1"/>
  <c r="BC62" i="1"/>
  <c r="BB8" i="2" s="1"/>
  <c r="BD62" i="1"/>
  <c r="BC8" i="2" s="1"/>
  <c r="BE62" i="1"/>
  <c r="BD8" i="2" s="1"/>
  <c r="BF62" i="1"/>
  <c r="BE8" i="2" s="1"/>
  <c r="BG62" i="1"/>
  <c r="BF8" i="2" s="1"/>
  <c r="BH62" i="1"/>
  <c r="BG8" i="2" s="1"/>
  <c r="D62" i="1"/>
  <c r="E5" i="1"/>
  <c r="E4" i="2" s="1"/>
  <c r="H5" i="1"/>
  <c r="H4" i="2" s="1"/>
  <c r="I5" i="1"/>
  <c r="I4" i="2" s="1"/>
  <c r="K5" i="1"/>
  <c r="K4" i="2" s="1"/>
  <c r="L5" i="1"/>
  <c r="L4" i="2" s="1"/>
  <c r="P5" i="1"/>
  <c r="O4" i="2" s="1"/>
  <c r="S5" i="1"/>
  <c r="R4" i="2" s="1"/>
  <c r="T5" i="1"/>
  <c r="S4" i="2" s="1"/>
  <c r="U5" i="1"/>
  <c r="T4" i="2" s="1"/>
  <c r="V5" i="1"/>
  <c r="U4" i="2" s="1"/>
  <c r="W5" i="1"/>
  <c r="V4" i="2" s="1"/>
  <c r="X5" i="1"/>
  <c r="W4" i="2" s="1"/>
  <c r="Y5" i="1"/>
  <c r="X4" i="2" s="1"/>
  <c r="AA5" i="1"/>
  <c r="Z4" i="2" s="1"/>
  <c r="AB5" i="1"/>
  <c r="AA4" i="2" s="1"/>
  <c r="AC5" i="1"/>
  <c r="AB4" i="2" s="1"/>
  <c r="AD5" i="1"/>
  <c r="AC4" i="2" s="1"/>
  <c r="AE5" i="1"/>
  <c r="AD4" i="2" s="1"/>
  <c r="AF5" i="1"/>
  <c r="AE4" i="2" s="1"/>
  <c r="AG5" i="1"/>
  <c r="AF4" i="2" s="1"/>
  <c r="AH5" i="1"/>
  <c r="AG4" i="2" s="1"/>
  <c r="AI5" i="1"/>
  <c r="AH4" i="2" s="1"/>
  <c r="AJ5" i="1"/>
  <c r="AI4" i="2" s="1"/>
  <c r="AK5" i="1"/>
  <c r="AJ4" i="2" s="1"/>
  <c r="AL5" i="1"/>
  <c r="AK4" i="2" s="1"/>
  <c r="AM5" i="1"/>
  <c r="AL4" i="2" s="1"/>
  <c r="AN5" i="1"/>
  <c r="AM4" i="2" s="1"/>
  <c r="AO5" i="1"/>
  <c r="AN4" i="2" s="1"/>
  <c r="AP5" i="1"/>
  <c r="AO4" i="2" s="1"/>
  <c r="AQ5" i="1"/>
  <c r="AP4" i="2" s="1"/>
  <c r="AR5" i="1"/>
  <c r="AQ4" i="2" s="1"/>
  <c r="AS5" i="1"/>
  <c r="AR4" i="2" s="1"/>
  <c r="AT5" i="1"/>
  <c r="AS4" i="2" s="1"/>
  <c r="AU5" i="1"/>
  <c r="AT4" i="2" s="1"/>
  <c r="AV5" i="1"/>
  <c r="AU4" i="2" s="1"/>
  <c r="AW5" i="1"/>
  <c r="AV4" i="2" s="1"/>
  <c r="AX5" i="1"/>
  <c r="AW4" i="2" s="1"/>
  <c r="AY5" i="1"/>
  <c r="AX4" i="2" s="1"/>
  <c r="AZ5" i="1"/>
  <c r="AY4" i="2" s="1"/>
  <c r="BA5" i="1"/>
  <c r="AZ4" i="2" s="1"/>
  <c r="BB5" i="1"/>
  <c r="BA4" i="2" s="1"/>
  <c r="BC5" i="1"/>
  <c r="BB4" i="2" s="1"/>
  <c r="BD5" i="1"/>
  <c r="BC4" i="2" s="1"/>
  <c r="BE5" i="1"/>
  <c r="BD4" i="2" s="1"/>
  <c r="BF5" i="1"/>
  <c r="BE4" i="2" s="1"/>
  <c r="BG5" i="1"/>
  <c r="BF4" i="2" s="1"/>
  <c r="BH5" i="1"/>
  <c r="BG4" i="2" s="1"/>
  <c r="E493" i="1"/>
  <c r="E20" i="2" s="1"/>
  <c r="F493" i="1"/>
  <c r="F20" i="2" s="1"/>
  <c r="G493" i="1"/>
  <c r="G20" i="2" s="1"/>
  <c r="H493" i="1"/>
  <c r="H20" i="2" s="1"/>
  <c r="I493" i="1"/>
  <c r="I20" i="2" s="1"/>
  <c r="K493" i="1"/>
  <c r="L493" i="1"/>
  <c r="P493" i="1"/>
  <c r="O20" i="2" s="1"/>
  <c r="Q493" i="1"/>
  <c r="P20" i="2" s="1"/>
  <c r="R493" i="1"/>
  <c r="Q20" i="2" s="1"/>
  <c r="S493" i="1"/>
  <c r="R20" i="2" s="1"/>
  <c r="T493" i="1"/>
  <c r="S20" i="2" s="1"/>
  <c r="U493" i="1"/>
  <c r="T20" i="2" s="1"/>
  <c r="V493" i="1"/>
  <c r="U20" i="2" s="1"/>
  <c r="W493" i="1"/>
  <c r="V20" i="2" s="1"/>
  <c r="X493" i="1"/>
  <c r="W20" i="2" s="1"/>
  <c r="Y493" i="1"/>
  <c r="X20" i="2" s="1"/>
  <c r="Z493" i="1"/>
  <c r="Y20" i="2" s="1"/>
  <c r="AA493" i="1"/>
  <c r="Z20" i="2" s="1"/>
  <c r="AB493" i="1"/>
  <c r="AA20" i="2" s="1"/>
  <c r="AC493" i="1"/>
  <c r="AB20" i="2" s="1"/>
  <c r="AD493" i="1"/>
  <c r="AC20" i="2" s="1"/>
  <c r="AE493" i="1"/>
  <c r="AD20" i="2" s="1"/>
  <c r="AF493" i="1"/>
  <c r="AE20" i="2" s="1"/>
  <c r="AG493" i="1"/>
  <c r="AF20" i="2" s="1"/>
  <c r="AH493" i="1"/>
  <c r="AG20" i="2" s="1"/>
  <c r="AI493" i="1"/>
  <c r="AH20" i="2" s="1"/>
  <c r="AJ493" i="1"/>
  <c r="AI20" i="2" s="1"/>
  <c r="AK493" i="1"/>
  <c r="AJ20" i="2" s="1"/>
  <c r="AL493" i="1"/>
  <c r="AK20" i="2" s="1"/>
  <c r="AM493" i="1"/>
  <c r="AL20" i="2" s="1"/>
  <c r="AN493" i="1"/>
  <c r="AM20" i="2" s="1"/>
  <c r="AO493" i="1"/>
  <c r="AN20" i="2" s="1"/>
  <c r="AP493" i="1"/>
  <c r="AO20" i="2" s="1"/>
  <c r="AQ493" i="1"/>
  <c r="AP20" i="2" s="1"/>
  <c r="AR493" i="1"/>
  <c r="AQ20" i="2" s="1"/>
  <c r="AS493" i="1"/>
  <c r="AR20" i="2" s="1"/>
  <c r="AT493" i="1"/>
  <c r="AS20" i="2" s="1"/>
  <c r="AU493" i="1"/>
  <c r="AT20" i="2" s="1"/>
  <c r="AV493" i="1"/>
  <c r="AU20" i="2" s="1"/>
  <c r="AW493" i="1"/>
  <c r="AV20" i="2" s="1"/>
  <c r="AX493" i="1"/>
  <c r="AW20" i="2" s="1"/>
  <c r="AY493" i="1"/>
  <c r="AX20" i="2" s="1"/>
  <c r="AZ493" i="1"/>
  <c r="AY20" i="2" s="1"/>
  <c r="BA493" i="1"/>
  <c r="AZ20" i="2" s="1"/>
  <c r="BB493" i="1"/>
  <c r="BA20" i="2" s="1"/>
  <c r="BC493" i="1"/>
  <c r="BB20" i="2" s="1"/>
  <c r="BD493" i="1"/>
  <c r="BC20" i="2" s="1"/>
  <c r="BE493" i="1"/>
  <c r="BD20" i="2" s="1"/>
  <c r="BF493" i="1"/>
  <c r="BE20" i="2" s="1"/>
  <c r="BG493" i="1"/>
  <c r="BF20" i="2" s="1"/>
  <c r="BH493" i="1"/>
  <c r="BG20" i="2" s="1"/>
  <c r="D493" i="1"/>
  <c r="D20" i="2" s="1"/>
  <c r="E540" i="1"/>
  <c r="E23" i="2" s="1"/>
  <c r="G540" i="1"/>
  <c r="G23" i="2" s="1"/>
  <c r="H540" i="1"/>
  <c r="H23" i="2" s="1"/>
  <c r="I540" i="1"/>
  <c r="I23" i="2" s="1"/>
  <c r="K540" i="1"/>
  <c r="L540" i="1"/>
  <c r="P540" i="1"/>
  <c r="O23" i="2" s="1"/>
  <c r="Q540" i="1"/>
  <c r="P23" i="2" s="1"/>
  <c r="R540" i="1"/>
  <c r="Q23" i="2" s="1"/>
  <c r="S540" i="1"/>
  <c r="R23" i="2" s="1"/>
  <c r="T540" i="1"/>
  <c r="S23" i="2" s="1"/>
  <c r="U540" i="1"/>
  <c r="T23" i="2" s="1"/>
  <c r="V540" i="1"/>
  <c r="U23" i="2" s="1"/>
  <c r="W540" i="1"/>
  <c r="V23" i="2" s="1"/>
  <c r="X540" i="1"/>
  <c r="W23" i="2" s="1"/>
  <c r="Y540" i="1"/>
  <c r="X23" i="2" s="1"/>
  <c r="Z540" i="1"/>
  <c r="Y23" i="2" s="1"/>
  <c r="AA540" i="1"/>
  <c r="Z23" i="2" s="1"/>
  <c r="AB540" i="1"/>
  <c r="AA23" i="2" s="1"/>
  <c r="AC540" i="1"/>
  <c r="AB23" i="2" s="1"/>
  <c r="AD540" i="1"/>
  <c r="AC23" i="2" s="1"/>
  <c r="AE540" i="1"/>
  <c r="AD23" i="2" s="1"/>
  <c r="AF540" i="1"/>
  <c r="AE23" i="2" s="1"/>
  <c r="AG540" i="1"/>
  <c r="AF23" i="2" s="1"/>
  <c r="AH540" i="1"/>
  <c r="AG23" i="2" s="1"/>
  <c r="AI540" i="1"/>
  <c r="AH23" i="2" s="1"/>
  <c r="AJ540" i="1"/>
  <c r="AI23" i="2" s="1"/>
  <c r="AK540" i="1"/>
  <c r="AJ23" i="2" s="1"/>
  <c r="AL540" i="1"/>
  <c r="AK23" i="2" s="1"/>
  <c r="AM540" i="1"/>
  <c r="AL23" i="2" s="1"/>
  <c r="AN540" i="1"/>
  <c r="AM23" i="2" s="1"/>
  <c r="AO540" i="1"/>
  <c r="AN23" i="2" s="1"/>
  <c r="AP540" i="1"/>
  <c r="AO23" i="2" s="1"/>
  <c r="AQ540" i="1"/>
  <c r="AP23" i="2" s="1"/>
  <c r="AR540" i="1"/>
  <c r="AQ23" i="2" s="1"/>
  <c r="AS540" i="1"/>
  <c r="AR23" i="2" s="1"/>
  <c r="AT540" i="1"/>
  <c r="AS23" i="2" s="1"/>
  <c r="AU540" i="1"/>
  <c r="AT23" i="2" s="1"/>
  <c r="AV540" i="1"/>
  <c r="AU23" i="2" s="1"/>
  <c r="AW540" i="1"/>
  <c r="AV23" i="2" s="1"/>
  <c r="AX540" i="1"/>
  <c r="AW23" i="2" s="1"/>
  <c r="AY540" i="1"/>
  <c r="AX23" i="2" s="1"/>
  <c r="AZ540" i="1"/>
  <c r="AY23" i="2" s="1"/>
  <c r="BA540" i="1"/>
  <c r="AZ23" i="2" s="1"/>
  <c r="BB540" i="1"/>
  <c r="BA23" i="2" s="1"/>
  <c r="BC540" i="1"/>
  <c r="BB23" i="2" s="1"/>
  <c r="BD540" i="1"/>
  <c r="BC23" i="2" s="1"/>
  <c r="BE540" i="1"/>
  <c r="BD23" i="2" s="1"/>
  <c r="BF540" i="1"/>
  <c r="BE23" i="2" s="1"/>
  <c r="BG540" i="1"/>
  <c r="BF23" i="2" s="1"/>
  <c r="BH540" i="1"/>
  <c r="BG23" i="2" s="1"/>
  <c r="E603" i="1"/>
  <c r="E26" i="2" s="1"/>
  <c r="G603" i="1"/>
  <c r="G26" i="2" s="1"/>
  <c r="H603" i="1"/>
  <c r="H26" i="2" s="1"/>
  <c r="I603" i="1"/>
  <c r="I26" i="2" s="1"/>
  <c r="K603" i="1"/>
  <c r="L603" i="1"/>
  <c r="P603" i="1"/>
  <c r="O26" i="2" s="1"/>
  <c r="Q603" i="1"/>
  <c r="P26" i="2" s="1"/>
  <c r="R603" i="1"/>
  <c r="Q26" i="2" s="1"/>
  <c r="S603" i="1"/>
  <c r="R26" i="2" s="1"/>
  <c r="T603" i="1"/>
  <c r="S26" i="2" s="1"/>
  <c r="U603" i="1"/>
  <c r="T26" i="2" s="1"/>
  <c r="V603" i="1"/>
  <c r="U26" i="2" s="1"/>
  <c r="W603" i="1"/>
  <c r="V26" i="2" s="1"/>
  <c r="X603" i="1"/>
  <c r="W26" i="2" s="1"/>
  <c r="Y603" i="1"/>
  <c r="X26" i="2" s="1"/>
  <c r="Z603" i="1"/>
  <c r="Y26" i="2" s="1"/>
  <c r="AA603" i="1"/>
  <c r="Z26" i="2" s="1"/>
  <c r="AB603" i="1"/>
  <c r="AA26" i="2" s="1"/>
  <c r="AC603" i="1"/>
  <c r="AB26" i="2" s="1"/>
  <c r="AD603" i="1"/>
  <c r="AC26" i="2" s="1"/>
  <c r="AE603" i="1"/>
  <c r="AD26" i="2" s="1"/>
  <c r="AF603" i="1"/>
  <c r="AE26" i="2" s="1"/>
  <c r="AG603" i="1"/>
  <c r="AF26" i="2" s="1"/>
  <c r="AH603" i="1"/>
  <c r="AG26" i="2" s="1"/>
  <c r="AI603" i="1"/>
  <c r="AH26" i="2" s="1"/>
  <c r="AJ603" i="1"/>
  <c r="AI26" i="2" s="1"/>
  <c r="AK603" i="1"/>
  <c r="AJ26" i="2" s="1"/>
  <c r="AL603" i="1"/>
  <c r="AK26" i="2" s="1"/>
  <c r="AM603" i="1"/>
  <c r="AL26" i="2" s="1"/>
  <c r="AN603" i="1"/>
  <c r="AM26" i="2" s="1"/>
  <c r="AO603" i="1"/>
  <c r="AN26" i="2" s="1"/>
  <c r="AP603" i="1"/>
  <c r="AO26" i="2" s="1"/>
  <c r="AQ603" i="1"/>
  <c r="AP26" i="2" s="1"/>
  <c r="AR603" i="1"/>
  <c r="AQ26" i="2" s="1"/>
  <c r="AS603" i="1"/>
  <c r="AR26" i="2" s="1"/>
  <c r="AT603" i="1"/>
  <c r="AS26" i="2" s="1"/>
  <c r="AU603" i="1"/>
  <c r="AT26" i="2" s="1"/>
  <c r="AV603" i="1"/>
  <c r="AU26" i="2" s="1"/>
  <c r="AW603" i="1"/>
  <c r="AV26" i="2" s="1"/>
  <c r="AX603" i="1"/>
  <c r="AW26" i="2" s="1"/>
  <c r="AY603" i="1"/>
  <c r="AX26" i="2" s="1"/>
  <c r="AZ603" i="1"/>
  <c r="AY26" i="2" s="1"/>
  <c r="BA603" i="1"/>
  <c r="AZ26" i="2" s="1"/>
  <c r="BB603" i="1"/>
  <c r="BA26" i="2" s="1"/>
  <c r="BC603" i="1"/>
  <c r="BB26" i="2" s="1"/>
  <c r="BE603" i="1"/>
  <c r="BD26" i="2" s="1"/>
  <c r="BF603" i="1"/>
  <c r="BE26" i="2" s="1"/>
  <c r="BG603" i="1"/>
  <c r="BF26" i="2" s="1"/>
  <c r="BH603" i="1"/>
  <c r="BG26" i="2" s="1"/>
  <c r="D603" i="1"/>
  <c r="D26" i="2" s="1"/>
  <c r="E24" i="2"/>
  <c r="F24" i="2"/>
  <c r="G24" i="2"/>
  <c r="H24" i="2"/>
  <c r="I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D24" i="2"/>
  <c r="E31" i="2"/>
  <c r="H31" i="2"/>
  <c r="I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E31" i="2"/>
  <c r="BF31" i="2"/>
  <c r="BG31" i="2"/>
  <c r="D31" i="2"/>
  <c r="E502" i="1"/>
  <c r="E22" i="2" s="1"/>
  <c r="H502" i="1"/>
  <c r="H22" i="2" s="1"/>
  <c r="I502" i="1"/>
  <c r="I22" i="2" s="1"/>
  <c r="K502" i="1"/>
  <c r="L502" i="1"/>
  <c r="P502" i="1"/>
  <c r="O22" i="2" s="1"/>
  <c r="Q502" i="1"/>
  <c r="P22" i="2" s="1"/>
  <c r="R502" i="1"/>
  <c r="Q22" i="2" s="1"/>
  <c r="S502" i="1"/>
  <c r="R22" i="2" s="1"/>
  <c r="T502" i="1"/>
  <c r="S22" i="2" s="1"/>
  <c r="U502" i="1"/>
  <c r="T22" i="2" s="1"/>
  <c r="V502" i="1"/>
  <c r="U22" i="2" s="1"/>
  <c r="W502" i="1"/>
  <c r="V22" i="2" s="1"/>
  <c r="X502" i="1"/>
  <c r="W22" i="2" s="1"/>
  <c r="Y502" i="1"/>
  <c r="X22" i="2" s="1"/>
  <c r="Z502" i="1"/>
  <c r="Y22" i="2" s="1"/>
  <c r="AA502" i="1"/>
  <c r="Z22" i="2" s="1"/>
  <c r="AB502" i="1"/>
  <c r="AA22" i="2" s="1"/>
  <c r="AC502" i="1"/>
  <c r="AB22" i="2" s="1"/>
  <c r="AD502" i="1"/>
  <c r="AC22" i="2" s="1"/>
  <c r="AE502" i="1"/>
  <c r="AD22" i="2" s="1"/>
  <c r="AF502" i="1"/>
  <c r="AE22" i="2" s="1"/>
  <c r="AG502" i="1"/>
  <c r="AF22" i="2" s="1"/>
  <c r="AH502" i="1"/>
  <c r="AG22" i="2" s="1"/>
  <c r="AI502" i="1"/>
  <c r="AH22" i="2" s="1"/>
  <c r="AJ502" i="1"/>
  <c r="AI22" i="2" s="1"/>
  <c r="AK502" i="1"/>
  <c r="AJ22" i="2" s="1"/>
  <c r="AL502" i="1"/>
  <c r="AK22" i="2" s="1"/>
  <c r="AM502" i="1"/>
  <c r="AL22" i="2" s="1"/>
  <c r="AN502" i="1"/>
  <c r="AM22" i="2" s="1"/>
  <c r="AP502" i="1"/>
  <c r="AO22" i="2" s="1"/>
  <c r="AQ502" i="1"/>
  <c r="AP22" i="2" s="1"/>
  <c r="AR502" i="1"/>
  <c r="AQ22" i="2" s="1"/>
  <c r="AS502" i="1"/>
  <c r="AR22" i="2" s="1"/>
  <c r="AT502" i="1"/>
  <c r="AS22" i="2" s="1"/>
  <c r="AU502" i="1"/>
  <c r="AT22" i="2" s="1"/>
  <c r="AV502" i="1"/>
  <c r="AU22" i="2" s="1"/>
  <c r="AW502" i="1"/>
  <c r="AV22" i="2" s="1"/>
  <c r="AX502" i="1"/>
  <c r="AW22" i="2" s="1"/>
  <c r="AY502" i="1"/>
  <c r="AX22" i="2" s="1"/>
  <c r="AZ502" i="1"/>
  <c r="AY22" i="2" s="1"/>
  <c r="BA502" i="1"/>
  <c r="AZ22" i="2" s="1"/>
  <c r="BB502" i="1"/>
  <c r="BA22" i="2" s="1"/>
  <c r="BC502" i="1"/>
  <c r="BB22" i="2" s="1"/>
  <c r="BD502" i="1"/>
  <c r="BC22" i="2" s="1"/>
  <c r="BE502" i="1"/>
  <c r="BD22" i="2" s="1"/>
  <c r="BF502" i="1"/>
  <c r="BE22" i="2" s="1"/>
  <c r="BG502" i="1"/>
  <c r="BF22" i="2" s="1"/>
  <c r="E649" i="1"/>
  <c r="E29" i="2" s="1"/>
  <c r="F649" i="1"/>
  <c r="F29" i="2" s="1"/>
  <c r="G649" i="1"/>
  <c r="G29" i="2" s="1"/>
  <c r="H649" i="1"/>
  <c r="H29" i="2" s="1"/>
  <c r="I649" i="1"/>
  <c r="I29" i="2" s="1"/>
  <c r="K649" i="1"/>
  <c r="L649" i="1"/>
  <c r="P649" i="1"/>
  <c r="O29" i="2" s="1"/>
  <c r="Q649" i="1"/>
  <c r="P29" i="2" s="1"/>
  <c r="R649" i="1"/>
  <c r="Q29" i="2" s="1"/>
  <c r="S649" i="1"/>
  <c r="R29" i="2" s="1"/>
  <c r="T649" i="1"/>
  <c r="S29" i="2" s="1"/>
  <c r="U649" i="1"/>
  <c r="T29" i="2" s="1"/>
  <c r="V649" i="1"/>
  <c r="U29" i="2" s="1"/>
  <c r="W649" i="1"/>
  <c r="V29" i="2" s="1"/>
  <c r="X649" i="1"/>
  <c r="W29" i="2" s="1"/>
  <c r="Y649" i="1"/>
  <c r="X29" i="2" s="1"/>
  <c r="Z649" i="1"/>
  <c r="Y29" i="2" s="1"/>
  <c r="AA649" i="1"/>
  <c r="Z29" i="2" s="1"/>
  <c r="AB649" i="1"/>
  <c r="AA29" i="2" s="1"/>
  <c r="AC649" i="1"/>
  <c r="AB29" i="2" s="1"/>
  <c r="AD649" i="1"/>
  <c r="AC29" i="2" s="1"/>
  <c r="AE649" i="1"/>
  <c r="AD29" i="2" s="1"/>
  <c r="AF649" i="1"/>
  <c r="AE29" i="2" s="1"/>
  <c r="AG649" i="1"/>
  <c r="AF29" i="2" s="1"/>
  <c r="AH649" i="1"/>
  <c r="AG29" i="2" s="1"/>
  <c r="AI649" i="1"/>
  <c r="AH29" i="2" s="1"/>
  <c r="AJ649" i="1"/>
  <c r="AI29" i="2" s="1"/>
  <c r="AK649" i="1"/>
  <c r="AJ29" i="2" s="1"/>
  <c r="AL649" i="1"/>
  <c r="AK29" i="2" s="1"/>
  <c r="AM649" i="1"/>
  <c r="AL29" i="2" s="1"/>
  <c r="AN649" i="1"/>
  <c r="AM29" i="2" s="1"/>
  <c r="AO649" i="1"/>
  <c r="AN29" i="2" s="1"/>
  <c r="AP649" i="1"/>
  <c r="AO29" i="2" s="1"/>
  <c r="AQ649" i="1"/>
  <c r="AP29" i="2" s="1"/>
  <c r="AR649" i="1"/>
  <c r="AQ29" i="2" s="1"/>
  <c r="AS649" i="1"/>
  <c r="AR29" i="2" s="1"/>
  <c r="AT649" i="1"/>
  <c r="AS29" i="2" s="1"/>
  <c r="AU649" i="1"/>
  <c r="AT29" i="2" s="1"/>
  <c r="AV649" i="1"/>
  <c r="AU29" i="2" s="1"/>
  <c r="AW649" i="1"/>
  <c r="AV29" i="2" s="1"/>
  <c r="AX649" i="1"/>
  <c r="AW29" i="2" s="1"/>
  <c r="AY649" i="1"/>
  <c r="AX29" i="2" s="1"/>
  <c r="AZ649" i="1"/>
  <c r="AY29" i="2" s="1"/>
  <c r="BA649" i="1"/>
  <c r="AZ29" i="2" s="1"/>
  <c r="BB649" i="1"/>
  <c r="BA29" i="2" s="1"/>
  <c r="BC649" i="1"/>
  <c r="BB29" i="2" s="1"/>
  <c r="BD649" i="1"/>
  <c r="BC29" i="2" s="1"/>
  <c r="BE649" i="1"/>
  <c r="BD29" i="2" s="1"/>
  <c r="BF649" i="1"/>
  <c r="BE29" i="2" s="1"/>
  <c r="BG649" i="1"/>
  <c r="BF29" i="2" s="1"/>
  <c r="BH649" i="1"/>
  <c r="BG29" i="2" s="1"/>
  <c r="D649" i="1"/>
  <c r="D29" i="2" s="1"/>
  <c r="E25" i="2"/>
  <c r="F25" i="2"/>
  <c r="G25" i="2"/>
  <c r="H25" i="2"/>
  <c r="I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D25" i="2"/>
  <c r="E14" i="1"/>
  <c r="E5" i="2" s="1"/>
  <c r="F14" i="1"/>
  <c r="F5" i="2" s="1"/>
  <c r="G14" i="1"/>
  <c r="G5" i="2" s="1"/>
  <c r="H14" i="1"/>
  <c r="H5" i="2" s="1"/>
  <c r="I14" i="1"/>
  <c r="I5" i="2" s="1"/>
  <c r="K14" i="1"/>
  <c r="K5" i="2" s="1"/>
  <c r="L14" i="1"/>
  <c r="L5" i="2" s="1"/>
  <c r="P14" i="1"/>
  <c r="O5" i="2" s="1"/>
  <c r="Q14" i="1"/>
  <c r="P5" i="2" s="1"/>
  <c r="R14" i="1"/>
  <c r="Q5" i="2" s="1"/>
  <c r="S14" i="1"/>
  <c r="R5" i="2" s="1"/>
  <c r="T14" i="1"/>
  <c r="S5" i="2" s="1"/>
  <c r="U14" i="1"/>
  <c r="T5" i="2" s="1"/>
  <c r="W14" i="1"/>
  <c r="V5" i="2" s="1"/>
  <c r="X14" i="1"/>
  <c r="W5" i="2" s="1"/>
  <c r="Y14" i="1"/>
  <c r="X5" i="2" s="1"/>
  <c r="Z14" i="1"/>
  <c r="Y5" i="2" s="1"/>
  <c r="AA14" i="1"/>
  <c r="Z5" i="2" s="1"/>
  <c r="AB14" i="1"/>
  <c r="AA5" i="2" s="1"/>
  <c r="AC14" i="1"/>
  <c r="AB5" i="2" s="1"/>
  <c r="AD14" i="1"/>
  <c r="AC5" i="2" s="1"/>
  <c r="AE14" i="1"/>
  <c r="AD5" i="2" s="1"/>
  <c r="AF14" i="1"/>
  <c r="AE5" i="2" s="1"/>
  <c r="AG14" i="1"/>
  <c r="AF5" i="2" s="1"/>
  <c r="AH14" i="1"/>
  <c r="AG5" i="2" s="1"/>
  <c r="AI14" i="1"/>
  <c r="AH5" i="2" s="1"/>
  <c r="AJ14" i="1"/>
  <c r="AI5" i="2" s="1"/>
  <c r="AK14" i="1"/>
  <c r="AJ5" i="2" s="1"/>
  <c r="AL14" i="1"/>
  <c r="AK5" i="2" s="1"/>
  <c r="AM14" i="1"/>
  <c r="AL5" i="2" s="1"/>
  <c r="AN14" i="1"/>
  <c r="AM5" i="2" s="1"/>
  <c r="AO14" i="1"/>
  <c r="AN5" i="2" s="1"/>
  <c r="AP14" i="1"/>
  <c r="AO5" i="2" s="1"/>
  <c r="AQ14" i="1"/>
  <c r="AP5" i="2" s="1"/>
  <c r="AR14" i="1"/>
  <c r="AQ5" i="2" s="1"/>
  <c r="AS14" i="1"/>
  <c r="AR5" i="2" s="1"/>
  <c r="AT14" i="1"/>
  <c r="AS5" i="2" s="1"/>
  <c r="AU14" i="1"/>
  <c r="AT5" i="2" s="1"/>
  <c r="AV14" i="1"/>
  <c r="AU5" i="2" s="1"/>
  <c r="AW14" i="1"/>
  <c r="AV5" i="2" s="1"/>
  <c r="AX14" i="1"/>
  <c r="AW5" i="2" s="1"/>
  <c r="AY14" i="1"/>
  <c r="AX5" i="2" s="1"/>
  <c r="AZ14" i="1"/>
  <c r="AY5" i="2" s="1"/>
  <c r="BA14" i="1"/>
  <c r="AZ5" i="2" s="1"/>
  <c r="BB14" i="1"/>
  <c r="BA5" i="2" s="1"/>
  <c r="BC14" i="1"/>
  <c r="BB5" i="2" s="1"/>
  <c r="BD14" i="1"/>
  <c r="BC5" i="2" s="1"/>
  <c r="BF14" i="1"/>
  <c r="BE5" i="2" s="1"/>
  <c r="BG14" i="1"/>
  <c r="BF5" i="2" s="1"/>
  <c r="BH14" i="1"/>
  <c r="BG5" i="2" s="1"/>
  <c r="D14" i="1"/>
  <c r="D5" i="2" s="1"/>
  <c r="E125" i="1"/>
  <c r="E11" i="2" s="1"/>
  <c r="G125" i="1"/>
  <c r="G11" i="2" s="1"/>
  <c r="H125" i="1"/>
  <c r="H11" i="2" s="1"/>
  <c r="I125" i="1"/>
  <c r="I11" i="2" s="1"/>
  <c r="K125" i="1"/>
  <c r="K11" i="2" s="1"/>
  <c r="L125" i="1"/>
  <c r="L11" i="2" s="1"/>
  <c r="P125" i="1"/>
  <c r="O11" i="2" s="1"/>
  <c r="Q125" i="1"/>
  <c r="P11" i="2" s="1"/>
  <c r="R125" i="1"/>
  <c r="Q11" i="2" s="1"/>
  <c r="S125" i="1"/>
  <c r="R11" i="2" s="1"/>
  <c r="T125" i="1"/>
  <c r="S11" i="2" s="1"/>
  <c r="U125" i="1"/>
  <c r="T11" i="2" s="1"/>
  <c r="V125" i="1"/>
  <c r="U11" i="2" s="1"/>
  <c r="W125" i="1"/>
  <c r="V11" i="2" s="1"/>
  <c r="X125" i="1"/>
  <c r="W11" i="2" s="1"/>
  <c r="Y125" i="1"/>
  <c r="X11" i="2" s="1"/>
  <c r="Z125" i="1"/>
  <c r="Y11" i="2" s="1"/>
  <c r="AA125" i="1"/>
  <c r="Z11" i="2" s="1"/>
  <c r="AB125" i="1"/>
  <c r="AA11" i="2" s="1"/>
  <c r="AC125" i="1"/>
  <c r="AB11" i="2" s="1"/>
  <c r="AD125" i="1"/>
  <c r="AC11" i="2" s="1"/>
  <c r="AE125" i="1"/>
  <c r="AD11" i="2" s="1"/>
  <c r="AF125" i="1"/>
  <c r="AE11" i="2" s="1"/>
  <c r="AG125" i="1"/>
  <c r="AF11" i="2" s="1"/>
  <c r="AH125" i="1"/>
  <c r="AG11" i="2" s="1"/>
  <c r="AI125" i="1"/>
  <c r="AH11" i="2" s="1"/>
  <c r="AJ125" i="1"/>
  <c r="AI11" i="2" s="1"/>
  <c r="AK125" i="1"/>
  <c r="AJ11" i="2" s="1"/>
  <c r="AL125" i="1"/>
  <c r="AK11" i="2" s="1"/>
  <c r="AM125" i="1"/>
  <c r="AL11" i="2" s="1"/>
  <c r="AN125" i="1"/>
  <c r="AM11" i="2" s="1"/>
  <c r="AO125" i="1"/>
  <c r="AN11" i="2" s="1"/>
  <c r="AP125" i="1"/>
  <c r="AO11" i="2" s="1"/>
  <c r="AQ125" i="1"/>
  <c r="AP11" i="2" s="1"/>
  <c r="AR125" i="1"/>
  <c r="AQ11" i="2" s="1"/>
  <c r="AS125" i="1"/>
  <c r="AR11" i="2" s="1"/>
  <c r="AT125" i="1"/>
  <c r="AS11" i="2" s="1"/>
  <c r="AU125" i="1"/>
  <c r="AT11" i="2" s="1"/>
  <c r="AV125" i="1"/>
  <c r="AU11" i="2" s="1"/>
  <c r="AW125" i="1"/>
  <c r="AV11" i="2" s="1"/>
  <c r="AX125" i="1"/>
  <c r="AW11" i="2" s="1"/>
  <c r="AY125" i="1"/>
  <c r="AX11" i="2" s="1"/>
  <c r="AZ125" i="1"/>
  <c r="AY11" i="2" s="1"/>
  <c r="BA125" i="1"/>
  <c r="AZ11" i="2" s="1"/>
  <c r="BB125" i="1"/>
  <c r="BA11" i="2" s="1"/>
  <c r="BC125" i="1"/>
  <c r="BB11" i="2" s="1"/>
  <c r="BD125" i="1"/>
  <c r="BC11" i="2" s="1"/>
  <c r="BE125" i="1"/>
  <c r="BD11" i="2" s="1"/>
  <c r="BF125" i="1"/>
  <c r="BE11" i="2" s="1"/>
  <c r="BG125" i="1"/>
  <c r="BF11" i="2" s="1"/>
  <c r="D125" i="1"/>
  <c r="D11" i="2" s="1"/>
  <c r="U8" i="2" l="1"/>
  <c r="BM62" i="1"/>
  <c r="J24" i="2"/>
  <c r="BJ62" i="1"/>
  <c r="D8" i="2"/>
  <c r="BJ493" i="1"/>
  <c r="BJ578" i="1"/>
  <c r="BJ649" i="1"/>
  <c r="BJ14" i="1"/>
  <c r="BJ498" i="1"/>
  <c r="BF266" i="1"/>
  <c r="BE17" i="2" s="1"/>
  <c r="AX266" i="1"/>
  <c r="AW17" i="2" s="1"/>
  <c r="AP266" i="1"/>
  <c r="AO17" i="2" s="1"/>
  <c r="AL266" i="1"/>
  <c r="AK17" i="2" s="1"/>
  <c r="AH266" i="1"/>
  <c r="AG17" i="2" s="1"/>
  <c r="AD266" i="1"/>
  <c r="AC17" i="2" s="1"/>
  <c r="Z266" i="1"/>
  <c r="Y17" i="2" s="1"/>
  <c r="V266" i="1"/>
  <c r="U17" i="2" s="1"/>
  <c r="R266" i="1"/>
  <c r="Q17" i="2" s="1"/>
  <c r="M266" i="1"/>
  <c r="BA266" i="1"/>
  <c r="AZ17" i="2" s="1"/>
  <c r="AW266" i="1"/>
  <c r="AV17" i="2" s="1"/>
  <c r="AS266" i="1"/>
  <c r="AR17" i="2" s="1"/>
  <c r="AK266" i="1"/>
  <c r="AJ17" i="2" s="1"/>
  <c r="AG266" i="1"/>
  <c r="AF17" i="2" s="1"/>
  <c r="AC266" i="1"/>
  <c r="AB17" i="2" s="1"/>
  <c r="Y266" i="1"/>
  <c r="X17" i="2" s="1"/>
  <c r="U266" i="1"/>
  <c r="T17" i="2" s="1"/>
  <c r="Q266" i="1"/>
  <c r="P17" i="2" s="1"/>
  <c r="I266" i="1"/>
  <c r="I17" i="2" s="1"/>
  <c r="BB266" i="1"/>
  <c r="BA17" i="2" s="1"/>
  <c r="AZ266" i="1"/>
  <c r="AY17" i="2" s="1"/>
  <c r="AV266" i="1"/>
  <c r="AU17" i="2" s="1"/>
  <c r="AR266" i="1"/>
  <c r="AQ17" i="2" s="1"/>
  <c r="AN266" i="1"/>
  <c r="AM17" i="2" s="1"/>
  <c r="AJ266" i="1"/>
  <c r="AI17" i="2" s="1"/>
  <c r="AF266" i="1"/>
  <c r="AE17" i="2" s="1"/>
  <c r="X266" i="1"/>
  <c r="W17" i="2" s="1"/>
  <c r="T266" i="1"/>
  <c r="S17" i="2" s="1"/>
  <c r="P266" i="1"/>
  <c r="O17" i="2" s="1"/>
  <c r="AT266" i="1"/>
  <c r="AS17" i="2" s="1"/>
  <c r="BG266" i="1"/>
  <c r="BF17" i="2" s="1"/>
  <c r="BC266" i="1"/>
  <c r="BB17" i="2" s="1"/>
  <c r="AY266" i="1"/>
  <c r="AX17" i="2" s="1"/>
  <c r="AU266" i="1"/>
  <c r="AT17" i="2" s="1"/>
  <c r="AM266" i="1"/>
  <c r="AL17" i="2" s="1"/>
  <c r="AI266" i="1"/>
  <c r="AH17" i="2" s="1"/>
  <c r="AE266" i="1"/>
  <c r="AD17" i="2" s="1"/>
  <c r="W266" i="1"/>
  <c r="V17" i="2" s="1"/>
  <c r="S266" i="1"/>
  <c r="R17" i="2" s="1"/>
  <c r="J186" i="1"/>
  <c r="BM186" i="1" s="1"/>
  <c r="J185" i="1"/>
  <c r="BM185" i="1" s="1"/>
  <c r="J184" i="1"/>
  <c r="BM184" i="1" s="1"/>
  <c r="J182" i="1"/>
  <c r="BM182" i="1" s="1"/>
  <c r="J754" i="1"/>
  <c r="BM754" i="1" s="1"/>
  <c r="J753" i="1"/>
  <c r="BM753" i="1" s="1"/>
  <c r="J752" i="1"/>
  <c r="BM752" i="1" s="1"/>
  <c r="J751" i="1"/>
  <c r="BM751" i="1" s="1"/>
  <c r="J750" i="1"/>
  <c r="BM750" i="1" s="1"/>
  <c r="J749" i="1"/>
  <c r="BM749" i="1" s="1"/>
  <c r="J748" i="1"/>
  <c r="BM748" i="1" s="1"/>
  <c r="J747" i="1"/>
  <c r="BM747" i="1" s="1"/>
  <c r="J746" i="1"/>
  <c r="BM746" i="1" s="1"/>
  <c r="J745" i="1"/>
  <c r="BM745" i="1" s="1"/>
  <c r="J744" i="1"/>
  <c r="BM744" i="1" s="1"/>
  <c r="J743" i="1"/>
  <c r="BM743" i="1" s="1"/>
  <c r="J742" i="1"/>
  <c r="BM742" i="1" s="1"/>
  <c r="J741" i="1"/>
  <c r="BM741" i="1" s="1"/>
  <c r="E13" i="2" l="1"/>
  <c r="H13" i="2"/>
  <c r="I13" i="2"/>
  <c r="D157" i="1"/>
  <c r="D13" i="2" s="1"/>
  <c r="G933" i="1"/>
  <c r="Z923" i="1"/>
  <c r="BM923" i="1" s="1"/>
  <c r="BJ923" i="1"/>
  <c r="Z13" i="1"/>
  <c r="BE489" i="1"/>
  <c r="F536" i="1"/>
  <c r="BJ536" i="1" s="1"/>
  <c r="BE439" i="1" l="1"/>
  <c r="BM489" i="1"/>
  <c r="Z5" i="1"/>
  <c r="Y4" i="2" s="1"/>
  <c r="BM13" i="1"/>
  <c r="K13" i="2"/>
  <c r="F10" i="2"/>
  <c r="G10" i="2"/>
  <c r="H10" i="2"/>
  <c r="I10" i="2"/>
  <c r="D10" i="2"/>
  <c r="BD19" i="2" l="1"/>
  <c r="BJ112" i="1"/>
  <c r="AQ875" i="1"/>
  <c r="G875" i="1"/>
  <c r="F875" i="1"/>
  <c r="D875" i="1"/>
  <c r="BJ875" i="1" l="1"/>
  <c r="F160" i="1"/>
  <c r="BJ160" i="1" l="1"/>
  <c r="F157" i="1"/>
  <c r="AN13" i="2"/>
  <c r="AP13" i="2"/>
  <c r="AQ13" i="2"/>
  <c r="BB13" i="2"/>
  <c r="BK157" i="1"/>
  <c r="AZ971" i="1" l="1"/>
  <c r="AY36" i="2" s="1"/>
  <c r="AY13" i="2"/>
  <c r="AN971" i="1"/>
  <c r="AM36" i="2" s="1"/>
  <c r="AM13" i="2"/>
  <c r="AJ971" i="1"/>
  <c r="AI36" i="2" s="1"/>
  <c r="AI13" i="2"/>
  <c r="Y971" i="1"/>
  <c r="X36" i="2" s="1"/>
  <c r="X13" i="2"/>
  <c r="S971" i="1"/>
  <c r="R36" i="2" s="1"/>
  <c r="R13" i="2"/>
  <c r="AY971" i="1"/>
  <c r="AX36" i="2" s="1"/>
  <c r="AX13" i="2"/>
  <c r="AU971" i="1"/>
  <c r="AT36" i="2" s="1"/>
  <c r="AT13" i="2"/>
  <c r="AM971" i="1"/>
  <c r="AL36" i="2" s="1"/>
  <c r="AL13" i="2"/>
  <c r="AI971" i="1"/>
  <c r="AH36" i="2" s="1"/>
  <c r="AH13" i="2"/>
  <c r="AE971" i="1"/>
  <c r="AD36" i="2" s="1"/>
  <c r="AD13" i="2"/>
  <c r="W971" i="1"/>
  <c r="V36" i="2" s="1"/>
  <c r="V13" i="2"/>
  <c r="R971" i="1"/>
  <c r="Q36" i="2" s="1"/>
  <c r="Q13" i="2"/>
  <c r="BB971" i="1"/>
  <c r="BA36" i="2" s="1"/>
  <c r="BA13" i="2"/>
  <c r="AX971" i="1"/>
  <c r="AW36" i="2" s="1"/>
  <c r="AW13" i="2"/>
  <c r="AT971" i="1"/>
  <c r="AS36" i="2" s="1"/>
  <c r="AS13" i="2"/>
  <c r="AP971" i="1"/>
  <c r="AO36" i="2" s="1"/>
  <c r="AO13" i="2"/>
  <c r="AL971" i="1"/>
  <c r="AK36" i="2" s="1"/>
  <c r="AK13" i="2"/>
  <c r="AH971" i="1"/>
  <c r="AG36" i="2" s="1"/>
  <c r="AG13" i="2"/>
  <c r="AD971" i="1"/>
  <c r="AC36" i="2" s="1"/>
  <c r="AC13" i="2"/>
  <c r="U971" i="1"/>
  <c r="T36" i="2" s="1"/>
  <c r="T13" i="2"/>
  <c r="P971" i="1"/>
  <c r="O36" i="2" s="1"/>
  <c r="O13" i="2"/>
  <c r="BF971" i="1"/>
  <c r="BE36" i="2" s="1"/>
  <c r="BE13" i="2"/>
  <c r="AV971" i="1"/>
  <c r="AU36" i="2" s="1"/>
  <c r="AU13" i="2"/>
  <c r="AF971" i="1"/>
  <c r="AE36" i="2" s="1"/>
  <c r="AE13" i="2"/>
  <c r="BG971" i="1"/>
  <c r="BF36" i="2" s="1"/>
  <c r="BF13" i="2"/>
  <c r="BA971" i="1"/>
  <c r="AZ36" i="2" s="1"/>
  <c r="AZ13" i="2"/>
  <c r="AW971" i="1"/>
  <c r="AV36" i="2" s="1"/>
  <c r="AV13" i="2"/>
  <c r="AS971" i="1"/>
  <c r="AR36" i="2" s="1"/>
  <c r="AR13" i="2"/>
  <c r="AK971" i="1"/>
  <c r="AJ36" i="2" s="1"/>
  <c r="AJ13" i="2"/>
  <c r="AG971" i="1"/>
  <c r="AF36" i="2" s="1"/>
  <c r="AF13" i="2"/>
  <c r="AC971" i="1"/>
  <c r="AB36" i="2" s="1"/>
  <c r="AB13" i="2"/>
  <c r="T971" i="1"/>
  <c r="S36" i="2" s="1"/>
  <c r="S13" i="2"/>
  <c r="BJ157" i="1"/>
  <c r="F13" i="2"/>
  <c r="D968" i="1"/>
  <c r="Z951" i="1"/>
  <c r="G951" i="1"/>
  <c r="AA222" i="1"/>
  <c r="AA161" i="1" s="1"/>
  <c r="J221" i="1"/>
  <c r="BM221" i="1" s="1"/>
  <c r="J219" i="1"/>
  <c r="BM219" i="1" s="1"/>
  <c r="D219" i="1"/>
  <c r="BJ219" i="1" s="1"/>
  <c r="J218" i="1"/>
  <c r="BM218" i="1" s="1"/>
  <c r="J217" i="1"/>
  <c r="BM217" i="1" s="1"/>
  <c r="F217" i="1"/>
  <c r="D217" i="1"/>
  <c r="J216" i="1"/>
  <c r="BM216" i="1" s="1"/>
  <c r="J215" i="1"/>
  <c r="BM215" i="1" s="1"/>
  <c r="F215" i="1"/>
  <c r="D215" i="1"/>
  <c r="BE160" i="1"/>
  <c r="BE157" i="1" s="1"/>
  <c r="J606" i="1"/>
  <c r="BM606" i="1" s="1"/>
  <c r="J922" i="1"/>
  <c r="BM922" i="1" s="1"/>
  <c r="J921" i="1"/>
  <c r="BM921" i="1" s="1"/>
  <c r="F921" i="1"/>
  <c r="D921" i="1"/>
  <c r="X920" i="1"/>
  <c r="J920" i="1" s="1"/>
  <c r="BM920" i="1" s="1"/>
  <c r="J919" i="1"/>
  <c r="BM919" i="1" s="1"/>
  <c r="G919" i="1"/>
  <c r="F919" i="1"/>
  <c r="D919" i="1"/>
  <c r="J918" i="1"/>
  <c r="BM918" i="1" s="1"/>
  <c r="J917" i="1"/>
  <c r="BM917" i="1" s="1"/>
  <c r="BE916" i="1"/>
  <c r="Z916" i="1"/>
  <c r="G916" i="1"/>
  <c r="F916" i="1"/>
  <c r="D916" i="1"/>
  <c r="BE915" i="1"/>
  <c r="AB915" i="1"/>
  <c r="Z915" i="1"/>
  <c r="BE914" i="1"/>
  <c r="Z914" i="1"/>
  <c r="F914" i="1"/>
  <c r="D914" i="1"/>
  <c r="BE913" i="1"/>
  <c r="AB913" i="1"/>
  <c r="G913" i="1"/>
  <c r="F913" i="1"/>
  <c r="D913" i="1"/>
  <c r="BE912" i="1"/>
  <c r="J912" i="1" s="1"/>
  <c r="BM912" i="1" s="1"/>
  <c r="G912" i="1"/>
  <c r="F912" i="1"/>
  <c r="D912" i="1"/>
  <c r="J911" i="1"/>
  <c r="BM911" i="1" s="1"/>
  <c r="Z910" i="1"/>
  <c r="J910" i="1" s="1"/>
  <c r="BM910" i="1" s="1"/>
  <c r="G910" i="1"/>
  <c r="F910" i="1"/>
  <c r="D910" i="1"/>
  <c r="J909" i="1"/>
  <c r="BM909" i="1" s="1"/>
  <c r="J908" i="1"/>
  <c r="BM908" i="1" s="1"/>
  <c r="J907" i="1"/>
  <c r="BM907" i="1" s="1"/>
  <c r="J906" i="1"/>
  <c r="BM906" i="1" s="1"/>
  <c r="J905" i="1"/>
  <c r="BM905" i="1" s="1"/>
  <c r="J904" i="1"/>
  <c r="BM904" i="1" s="1"/>
  <c r="G904" i="1"/>
  <c r="BD59" i="1"/>
  <c r="J59" i="1" s="1"/>
  <c r="BM59" i="1" s="1"/>
  <c r="J58" i="1"/>
  <c r="BM58" i="1" s="1"/>
  <c r="BD57" i="1"/>
  <c r="J57" i="1" s="1"/>
  <c r="BM57" i="1" s="1"/>
  <c r="G57" i="1"/>
  <c r="J644" i="1"/>
  <c r="BM644" i="1" s="1"/>
  <c r="J643" i="1"/>
  <c r="BM643" i="1" s="1"/>
  <c r="Z108" i="1"/>
  <c r="G108" i="1" s="1"/>
  <c r="J107" i="1"/>
  <c r="BM107" i="1" s="1"/>
  <c r="BE106" i="1"/>
  <c r="J106" i="1" s="1"/>
  <c r="BM106" i="1" s="1"/>
  <c r="G106" i="1"/>
  <c r="D106" i="1"/>
  <c r="BJ106" i="1" s="1"/>
  <c r="J105" i="1"/>
  <c r="BM105" i="1" s="1"/>
  <c r="J104" i="1"/>
  <c r="BM104" i="1" s="1"/>
  <c r="BE103" i="1"/>
  <c r="AA103" i="1"/>
  <c r="Z103" i="1"/>
  <c r="BE102" i="1"/>
  <c r="J102" i="1" s="1"/>
  <c r="BM102" i="1" s="1"/>
  <c r="BE101" i="1"/>
  <c r="BD101" i="1"/>
  <c r="AB101" i="1"/>
  <c r="AA101" i="1"/>
  <c r="Z101" i="1"/>
  <c r="G101" i="1"/>
  <c r="F101" i="1"/>
  <c r="D101" i="1"/>
  <c r="Z100" i="1"/>
  <c r="J100" i="1" s="1"/>
  <c r="BM100" i="1" s="1"/>
  <c r="G100" i="1"/>
  <c r="D100" i="1"/>
  <c r="BJ100" i="1" s="1"/>
  <c r="J496" i="1"/>
  <c r="BM496" i="1" s="1"/>
  <c r="J486" i="1"/>
  <c r="BM486" i="1" s="1"/>
  <c r="J308" i="1"/>
  <c r="BM308" i="1" s="1"/>
  <c r="F308" i="1"/>
  <c r="J533" i="1"/>
  <c r="BM533" i="1" s="1"/>
  <c r="J532" i="1"/>
  <c r="BM532" i="1" s="1"/>
  <c r="J531" i="1"/>
  <c r="BM531" i="1" s="1"/>
  <c r="G531" i="1"/>
  <c r="G502" i="1" s="1"/>
  <c r="G22" i="2" s="1"/>
  <c r="J659" i="1"/>
  <c r="BM659" i="1" s="1"/>
  <c r="BJ308" i="1" l="1"/>
  <c r="BJ919" i="1"/>
  <c r="BJ101" i="1"/>
  <c r="BJ910" i="1"/>
  <c r="BJ921" i="1"/>
  <c r="BJ103" i="1"/>
  <c r="BJ912" i="1"/>
  <c r="BJ913" i="1"/>
  <c r="BJ916" i="1"/>
  <c r="D953" i="1"/>
  <c r="D35" i="2" s="1"/>
  <c r="BJ968" i="1"/>
  <c r="BJ914" i="1"/>
  <c r="BJ917" i="1"/>
  <c r="BJ215" i="1"/>
  <c r="BJ217" i="1"/>
  <c r="J493" i="1"/>
  <c r="BM493" i="1" s="1"/>
  <c r="AA64" i="1"/>
  <c r="Z9" i="2" s="1"/>
  <c r="J222" i="1"/>
  <c r="BM222" i="1" s="1"/>
  <c r="J951" i="1"/>
  <c r="BM951" i="1" s="1"/>
  <c r="Z947" i="1"/>
  <c r="Y34" i="2" s="1"/>
  <c r="J603" i="1"/>
  <c r="BD603" i="1"/>
  <c r="J160" i="1"/>
  <c r="BM160" i="1" s="1"/>
  <c r="J108" i="1"/>
  <c r="BM108" i="1" s="1"/>
  <c r="J913" i="1"/>
  <c r="BM913" i="1" s="1"/>
  <c r="J916" i="1"/>
  <c r="BM916" i="1" s="1"/>
  <c r="J915" i="1"/>
  <c r="BM915" i="1" s="1"/>
  <c r="J103" i="1"/>
  <c r="BM103" i="1" s="1"/>
  <c r="J101" i="1"/>
  <c r="BM101" i="1" s="1"/>
  <c r="J914" i="1"/>
  <c r="BM914" i="1" s="1"/>
  <c r="G920" i="1"/>
  <c r="G222" i="1"/>
  <c r="J26" i="2" l="1"/>
  <c r="BM603" i="1"/>
  <c r="J20" i="2"/>
  <c r="BD266" i="1"/>
  <c r="BC17" i="2" s="1"/>
  <c r="BC26" i="2"/>
  <c r="Z13" i="2"/>
  <c r="Z14" i="2"/>
  <c r="J622" i="1"/>
  <c r="BM622" i="1" s="1"/>
  <c r="J214" i="1"/>
  <c r="BM214" i="1" s="1"/>
  <c r="G214" i="1"/>
  <c r="F214" i="1"/>
  <c r="D214" i="1"/>
  <c r="BE967" i="1"/>
  <c r="J902" i="1"/>
  <c r="BM902" i="1" s="1"/>
  <c r="G902" i="1"/>
  <c r="F902" i="1"/>
  <c r="D902" i="1"/>
  <c r="J901" i="1"/>
  <c r="BM901" i="1" s="1"/>
  <c r="J900" i="1"/>
  <c r="BM900" i="1" s="1"/>
  <c r="G900" i="1"/>
  <c r="D900" i="1"/>
  <c r="BJ900" i="1" s="1"/>
  <c r="BE899" i="1"/>
  <c r="J899" i="1" s="1"/>
  <c r="BM899" i="1" s="1"/>
  <c r="G899" i="1"/>
  <c r="D899" i="1"/>
  <c r="BJ899" i="1" s="1"/>
  <c r="J898" i="1"/>
  <c r="BM898" i="1" s="1"/>
  <c r="BM897" i="1"/>
  <c r="BJ897" i="1"/>
  <c r="J896" i="1"/>
  <c r="BM896" i="1" s="1"/>
  <c r="G896" i="1"/>
  <c r="F896" i="1"/>
  <c r="D896" i="1"/>
  <c r="J895" i="1"/>
  <c r="BM895" i="1" s="1"/>
  <c r="G895" i="1"/>
  <c r="F895" i="1"/>
  <c r="D895" i="1"/>
  <c r="J894" i="1"/>
  <c r="BM894" i="1" s="1"/>
  <c r="G894" i="1"/>
  <c r="F894" i="1"/>
  <c r="D894" i="1"/>
  <c r="BE642" i="1"/>
  <c r="G642" i="1"/>
  <c r="D642" i="1"/>
  <c r="BJ642" i="1" s="1"/>
  <c r="BE99" i="1"/>
  <c r="BC99" i="1"/>
  <c r="BC64" i="1" s="1"/>
  <c r="AR99" i="1"/>
  <c r="AR64" i="1" s="1"/>
  <c r="AQ9" i="2" s="1"/>
  <c r="Z99" i="1"/>
  <c r="J689" i="1"/>
  <c r="BM689" i="1" s="1"/>
  <c r="G689" i="1"/>
  <c r="J421" i="1"/>
  <c r="BM421" i="1" s="1"/>
  <c r="J420" i="1"/>
  <c r="BM420" i="1" s="1"/>
  <c r="J419" i="1"/>
  <c r="BM419" i="1" s="1"/>
  <c r="BE98" i="1"/>
  <c r="BM98" i="1" s="1"/>
  <c r="J149" i="1"/>
  <c r="BM149" i="1" s="1"/>
  <c r="J12" i="1"/>
  <c r="BM12" i="1" s="1"/>
  <c r="F12" i="1"/>
  <c r="F5" i="1" s="1"/>
  <c r="F4" i="2" s="1"/>
  <c r="D12" i="1"/>
  <c r="BM99" i="1" l="1"/>
  <c r="BC971" i="1"/>
  <c r="BB36" i="2" s="1"/>
  <c r="BB9" i="2"/>
  <c r="BJ894" i="1"/>
  <c r="BJ895" i="1"/>
  <c r="BJ896" i="1"/>
  <c r="BJ214" i="1"/>
  <c r="BJ902" i="1"/>
  <c r="D5" i="1"/>
  <c r="D4" i="2" s="1"/>
  <c r="BJ12" i="1"/>
  <c r="J5" i="1"/>
  <c r="J642" i="1"/>
  <c r="BM642" i="1" s="1"/>
  <c r="BE624" i="1"/>
  <c r="J967" i="1"/>
  <c r="BM967" i="1" s="1"/>
  <c r="BE953" i="1"/>
  <c r="BD35" i="2" s="1"/>
  <c r="J546" i="1"/>
  <c r="BM546" i="1" s="1"/>
  <c r="J602" i="1"/>
  <c r="J479" i="1"/>
  <c r="BM479" i="1" s="1"/>
  <c r="E479" i="1"/>
  <c r="D479" i="1"/>
  <c r="J641" i="1"/>
  <c r="BM641" i="1" s="1"/>
  <c r="J56" i="1"/>
  <c r="BM56" i="1" s="1"/>
  <c r="D56" i="1"/>
  <c r="BJ56" i="1" s="1"/>
  <c r="AB97" i="1"/>
  <c r="J148" i="1"/>
  <c r="BM148" i="1" s="1"/>
  <c r="J892" i="1"/>
  <c r="BM892" i="1" s="1"/>
  <c r="F892" i="1"/>
  <c r="D892" i="1"/>
  <c r="J891" i="1"/>
  <c r="BM891" i="1" s="1"/>
  <c r="AA890" i="1"/>
  <c r="Z890" i="1"/>
  <c r="G890" i="1"/>
  <c r="F890" i="1"/>
  <c r="D890" i="1"/>
  <c r="BE889" i="1"/>
  <c r="J889" i="1" s="1"/>
  <c r="BM889" i="1" s="1"/>
  <c r="G889" i="1"/>
  <c r="J888" i="1"/>
  <c r="BM888" i="1" s="1"/>
  <c r="D888" i="1"/>
  <c r="BJ888" i="1" s="1"/>
  <c r="BE887" i="1"/>
  <c r="AA887" i="1"/>
  <c r="Z887" i="1"/>
  <c r="G887" i="1"/>
  <c r="D887" i="1"/>
  <c r="BJ887" i="1" s="1"/>
  <c r="J886" i="1"/>
  <c r="BM886" i="1" s="1"/>
  <c r="G886" i="1"/>
  <c r="D886" i="1"/>
  <c r="BJ886" i="1" s="1"/>
  <c r="J885" i="1"/>
  <c r="BM885" i="1" s="1"/>
  <c r="J676" i="1"/>
  <c r="BM676" i="1" s="1"/>
  <c r="J688" i="1"/>
  <c r="BM688" i="1" s="1"/>
  <c r="J621" i="1"/>
  <c r="BM621" i="1" s="1"/>
  <c r="J966" i="1"/>
  <c r="BM966" i="1" s="1"/>
  <c r="J640" i="1"/>
  <c r="BM640" i="1" s="1"/>
  <c r="D624" i="1"/>
  <c r="D28" i="2" s="1"/>
  <c r="AO530" i="1"/>
  <c r="BE213" i="1"/>
  <c r="BD213" i="1"/>
  <c r="BD161" i="1" s="1"/>
  <c r="AB213" i="1"/>
  <c r="Z213" i="1"/>
  <c r="G213" i="1"/>
  <c r="F213" i="1"/>
  <c r="D213" i="1"/>
  <c r="J658" i="1"/>
  <c r="BM658" i="1" s="1"/>
  <c r="J529" i="1"/>
  <c r="BM529" i="1" s="1"/>
  <c r="J418" i="1"/>
  <c r="BM418" i="1" s="1"/>
  <c r="J417" i="1"/>
  <c r="BM417" i="1" s="1"/>
  <c r="J416" i="1"/>
  <c r="BM416" i="1" s="1"/>
  <c r="D439" i="1" l="1"/>
  <c r="D19" i="2" s="1"/>
  <c r="E439" i="1"/>
  <c r="E19" i="2" s="1"/>
  <c r="BM602" i="1"/>
  <c r="J578" i="1"/>
  <c r="J4" i="2"/>
  <c r="BM5" i="1"/>
  <c r="BE266" i="1"/>
  <c r="BD17" i="2" s="1"/>
  <c r="BD28" i="2"/>
  <c r="BJ5" i="1"/>
  <c r="BC13" i="2"/>
  <c r="BC14" i="2"/>
  <c r="BJ213" i="1"/>
  <c r="BJ892" i="1"/>
  <c r="BJ890" i="1"/>
  <c r="J97" i="1"/>
  <c r="BM97" i="1" s="1"/>
  <c r="AB64" i="1"/>
  <c r="AA9" i="2" s="1"/>
  <c r="J530" i="1"/>
  <c r="BM530" i="1" s="1"/>
  <c r="AO502" i="1"/>
  <c r="F479" i="1"/>
  <c r="F439" i="1" s="1"/>
  <c r="J887" i="1"/>
  <c r="BM887" i="1" s="1"/>
  <c r="J213" i="1"/>
  <c r="BM213" i="1" s="1"/>
  <c r="J890" i="1"/>
  <c r="BM890" i="1" s="1"/>
  <c r="J619" i="1"/>
  <c r="BM619" i="1" s="1"/>
  <c r="J122" i="1"/>
  <c r="BM122" i="1" s="1"/>
  <c r="Z212" i="1"/>
  <c r="Z161" i="1" s="1"/>
  <c r="X212" i="1"/>
  <c r="H212" i="1"/>
  <c r="H161" i="1" s="1"/>
  <c r="G212" i="1"/>
  <c r="F212" i="1"/>
  <c r="D212" i="1"/>
  <c r="J884" i="1"/>
  <c r="BM884" i="1" s="1"/>
  <c r="X883" i="1"/>
  <c r="J883" i="1" s="1"/>
  <c r="BM883" i="1" s="1"/>
  <c r="G883" i="1"/>
  <c r="D883" i="1"/>
  <c r="BJ883" i="1" s="1"/>
  <c r="Z882" i="1"/>
  <c r="X882" i="1"/>
  <c r="X694" i="1" s="1"/>
  <c r="F882" i="1"/>
  <c r="D882" i="1"/>
  <c r="Z881" i="1"/>
  <c r="J881" i="1" s="1"/>
  <c r="BM881" i="1" s="1"/>
  <c r="G881" i="1"/>
  <c r="D881" i="1"/>
  <c r="BJ881" i="1" s="1"/>
  <c r="Z880" i="1"/>
  <c r="J880" i="1" s="1"/>
  <c r="BM880" i="1" s="1"/>
  <c r="G880" i="1"/>
  <c r="D880" i="1"/>
  <c r="BJ880" i="1" s="1"/>
  <c r="J879" i="1"/>
  <c r="BM879" i="1" s="1"/>
  <c r="Z878" i="1"/>
  <c r="J878" i="1" s="1"/>
  <c r="BM878" i="1" s="1"/>
  <c r="G878" i="1"/>
  <c r="F878" i="1"/>
  <c r="D878" i="1"/>
  <c r="BE55" i="1"/>
  <c r="BD55" i="1"/>
  <c r="BD25" i="1" s="1"/>
  <c r="AB55" i="1"/>
  <c r="AB25" i="1" s="1"/>
  <c r="G55" i="1"/>
  <c r="F55" i="1"/>
  <c r="D55" i="1"/>
  <c r="BE96" i="1"/>
  <c r="BE64" i="1" s="1"/>
  <c r="BD9" i="2" s="1"/>
  <c r="Z96" i="1"/>
  <c r="Z64" i="1" s="1"/>
  <c r="Y9" i="2" s="1"/>
  <c r="X96" i="1"/>
  <c r="X64" i="1" s="1"/>
  <c r="W9" i="2" s="1"/>
  <c r="G96" i="1"/>
  <c r="D96" i="1"/>
  <c r="BJ96" i="1" s="1"/>
  <c r="BE687" i="1"/>
  <c r="BD687" i="1"/>
  <c r="AA413" i="1"/>
  <c r="AA267" i="1" s="1"/>
  <c r="J412" i="1"/>
  <c r="BM412" i="1" s="1"/>
  <c r="J528" i="1"/>
  <c r="BM528" i="1" s="1"/>
  <c r="J147" i="1"/>
  <c r="BM147" i="1" s="1"/>
  <c r="BD680" i="1" l="1"/>
  <c r="BC31" i="2" s="1"/>
  <c r="BE680" i="1"/>
  <c r="BD31" i="2" s="1"/>
  <c r="AA7" i="2"/>
  <c r="J25" i="2"/>
  <c r="BM578" i="1"/>
  <c r="AA266" i="1"/>
  <c r="Z17" i="2" s="1"/>
  <c r="Z18" i="2"/>
  <c r="AO266" i="1"/>
  <c r="AN17" i="2" s="1"/>
  <c r="AN22" i="2"/>
  <c r="BJ882" i="1"/>
  <c r="BJ212" i="1"/>
  <c r="BJ878" i="1"/>
  <c r="BJ479" i="1"/>
  <c r="BJ439" i="1" s="1"/>
  <c r="F19" i="2"/>
  <c r="BJ55" i="1"/>
  <c r="J413" i="1"/>
  <c r="BM413" i="1" s="1"/>
  <c r="J882" i="1"/>
  <c r="BM882" i="1" s="1"/>
  <c r="J96" i="1"/>
  <c r="BM96" i="1" s="1"/>
  <c r="J687" i="1"/>
  <c r="J212" i="1"/>
  <c r="BM212" i="1" s="1"/>
  <c r="BM687" i="1" l="1"/>
  <c r="J680" i="1"/>
  <c r="J55" i="1"/>
  <c r="BM55" i="1" s="1"/>
  <c r="G947" i="1"/>
  <c r="G34" i="2" s="1"/>
  <c r="E639" i="1"/>
  <c r="J618" i="1"/>
  <c r="BM618" i="1" s="1"/>
  <c r="AB617" i="1"/>
  <c r="G617" i="1"/>
  <c r="G607" i="1" s="1"/>
  <c r="G27" i="2" s="1"/>
  <c r="F617" i="1"/>
  <c r="BE211" i="1"/>
  <c r="AB211" i="1"/>
  <c r="AB161" i="1" s="1"/>
  <c r="G211" i="1"/>
  <c r="F211" i="1"/>
  <c r="D211" i="1"/>
  <c r="J158" i="1"/>
  <c r="J875" i="1"/>
  <c r="BM875" i="1" s="1"/>
  <c r="J873" i="1"/>
  <c r="BM873" i="1" s="1"/>
  <c r="G873" i="1"/>
  <c r="F873" i="1"/>
  <c r="D873" i="1"/>
  <c r="J872" i="1"/>
  <c r="BM872" i="1" s="1"/>
  <c r="J871" i="1"/>
  <c r="BM871" i="1" s="1"/>
  <c r="G871" i="1"/>
  <c r="D871" i="1"/>
  <c r="BJ871" i="1" s="1"/>
  <c r="J870" i="1"/>
  <c r="BM870" i="1" s="1"/>
  <c r="G870" i="1"/>
  <c r="F870" i="1"/>
  <c r="D870" i="1"/>
  <c r="J869" i="1"/>
  <c r="BM869" i="1" s="1"/>
  <c r="G869" i="1"/>
  <c r="F869" i="1"/>
  <c r="D869" i="1"/>
  <c r="J868" i="1"/>
  <c r="BM868" i="1" s="1"/>
  <c r="AB867" i="1"/>
  <c r="J867" i="1" s="1"/>
  <c r="BM867" i="1" s="1"/>
  <c r="G867" i="1"/>
  <c r="F867" i="1"/>
  <c r="D867" i="1"/>
  <c r="J866" i="1"/>
  <c r="BM866" i="1" s="1"/>
  <c r="J865" i="1"/>
  <c r="BM865" i="1" s="1"/>
  <c r="G865" i="1"/>
  <c r="F865" i="1"/>
  <c r="D865" i="1"/>
  <c r="BD864" i="1"/>
  <c r="BD694" i="1" s="1"/>
  <c r="G864" i="1"/>
  <c r="F864" i="1"/>
  <c r="D864" i="1"/>
  <c r="J863" i="1"/>
  <c r="BM863" i="1" s="1"/>
  <c r="J862" i="1"/>
  <c r="BM862" i="1" s="1"/>
  <c r="F862" i="1"/>
  <c r="D862" i="1"/>
  <c r="J861" i="1"/>
  <c r="BM861" i="1" s="1"/>
  <c r="F861" i="1"/>
  <c r="D861" i="1"/>
  <c r="J860" i="1"/>
  <c r="BM860" i="1" s="1"/>
  <c r="J859" i="1"/>
  <c r="BM859" i="1" s="1"/>
  <c r="F859" i="1"/>
  <c r="D859" i="1"/>
  <c r="J858" i="1"/>
  <c r="BM858" i="1" s="1"/>
  <c r="F858" i="1"/>
  <c r="D858" i="1"/>
  <c r="J857" i="1"/>
  <c r="BM857" i="1" s="1"/>
  <c r="G857" i="1"/>
  <c r="F857" i="1"/>
  <c r="D857" i="1"/>
  <c r="J856" i="1"/>
  <c r="BM856" i="1" s="1"/>
  <c r="F856" i="1"/>
  <c r="D856" i="1"/>
  <c r="J855" i="1"/>
  <c r="BM855" i="1" s="1"/>
  <c r="F855" i="1"/>
  <c r="D855" i="1"/>
  <c r="J854" i="1"/>
  <c r="BM854" i="1" s="1"/>
  <c r="G854" i="1"/>
  <c r="F854" i="1"/>
  <c r="D854" i="1"/>
  <c r="AA853" i="1"/>
  <c r="J853" i="1" s="1"/>
  <c r="BM853" i="1" s="1"/>
  <c r="J852" i="1"/>
  <c r="BM852" i="1" s="1"/>
  <c r="J851" i="1"/>
  <c r="BM851" i="1" s="1"/>
  <c r="BE850" i="1"/>
  <c r="J850" i="1" s="1"/>
  <c r="BM850" i="1" s="1"/>
  <c r="F850" i="1"/>
  <c r="D850" i="1"/>
  <c r="J849" i="1"/>
  <c r="BM849" i="1" s="1"/>
  <c r="F849" i="1"/>
  <c r="D849" i="1"/>
  <c r="AB848" i="1"/>
  <c r="J848" i="1" s="1"/>
  <c r="BM848" i="1" s="1"/>
  <c r="G848" i="1"/>
  <c r="F848" i="1"/>
  <c r="D848" i="1"/>
  <c r="BD95" i="1"/>
  <c r="J94" i="1"/>
  <c r="BM94" i="1" s="1"/>
  <c r="G94" i="1"/>
  <c r="F94" i="1"/>
  <c r="D94" i="1"/>
  <c r="J847" i="1"/>
  <c r="BM847" i="1" s="1"/>
  <c r="J545" i="1"/>
  <c r="BM545" i="1" s="1"/>
  <c r="F545" i="1"/>
  <c r="F540" i="1" s="1"/>
  <c r="F23" i="2" s="1"/>
  <c r="D545" i="1"/>
  <c r="D540" i="1" s="1"/>
  <c r="D23" i="2" s="1"/>
  <c r="J477" i="1"/>
  <c r="BM477" i="1" s="1"/>
  <c r="J675" i="1"/>
  <c r="J410" i="1"/>
  <c r="BM410" i="1" s="1"/>
  <c r="J409" i="1"/>
  <c r="BM409" i="1" s="1"/>
  <c r="J408" i="1"/>
  <c r="BM408" i="1" s="1"/>
  <c r="J527" i="1"/>
  <c r="BM527" i="1" s="1"/>
  <c r="J657" i="1"/>
  <c r="BM657" i="1" s="1"/>
  <c r="J146" i="1"/>
  <c r="BM146" i="1" s="1"/>
  <c r="J121" i="1"/>
  <c r="J112" i="1" s="1"/>
  <c r="BC32" i="2" l="1"/>
  <c r="BM121" i="1"/>
  <c r="J661" i="1"/>
  <c r="BM675" i="1"/>
  <c r="BM158" i="1"/>
  <c r="J157" i="1"/>
  <c r="J13" i="2" s="1"/>
  <c r="J31" i="2"/>
  <c r="BM680" i="1"/>
  <c r="AA13" i="2"/>
  <c r="AA14" i="2"/>
  <c r="BJ854" i="1"/>
  <c r="BJ855" i="1"/>
  <c r="BJ862" i="1"/>
  <c r="BJ864" i="1"/>
  <c r="BJ865" i="1"/>
  <c r="BJ211" i="1"/>
  <c r="BJ859" i="1"/>
  <c r="BJ861" i="1"/>
  <c r="BJ867" i="1"/>
  <c r="BJ869" i="1"/>
  <c r="BJ870" i="1"/>
  <c r="BJ850" i="1"/>
  <c r="BJ857" i="1"/>
  <c r="BJ858" i="1"/>
  <c r="BJ873" i="1"/>
  <c r="BJ540" i="1"/>
  <c r="BJ545" i="1"/>
  <c r="BJ94" i="1"/>
  <c r="BJ95" i="1"/>
  <c r="BJ848" i="1"/>
  <c r="BJ849" i="1"/>
  <c r="BJ856" i="1"/>
  <c r="F607" i="1"/>
  <c r="BJ617" i="1"/>
  <c r="E624" i="1"/>
  <c r="E28" i="2" s="1"/>
  <c r="J540" i="1"/>
  <c r="BM540" i="1" s="1"/>
  <c r="J649" i="1"/>
  <c r="J95" i="1"/>
  <c r="BM95" i="1" s="1"/>
  <c r="BD64" i="1"/>
  <c r="BC9" i="2" s="1"/>
  <c r="J617" i="1"/>
  <c r="BM617" i="1" s="1"/>
  <c r="AB607" i="1"/>
  <c r="G158" i="1"/>
  <c r="G157" i="1" s="1"/>
  <c r="J211" i="1"/>
  <c r="BM211" i="1" s="1"/>
  <c r="J864" i="1"/>
  <c r="BM864" i="1" s="1"/>
  <c r="J29" i="2" l="1"/>
  <c r="BM649" i="1"/>
  <c r="J23" i="2"/>
  <c r="J10" i="2"/>
  <c r="BM112" i="1"/>
  <c r="J30" i="2"/>
  <c r="BM661" i="1"/>
  <c r="BJ607" i="1"/>
  <c r="F27" i="2"/>
  <c r="AB266" i="1"/>
  <c r="AA17" i="2" s="1"/>
  <c r="AA27" i="2"/>
  <c r="G13" i="2"/>
  <c r="J638" i="1"/>
  <c r="J526" i="1"/>
  <c r="BE210" i="1"/>
  <c r="BE161" i="1" s="1"/>
  <c r="BE846" i="1"/>
  <c r="G846" i="1"/>
  <c r="BJ846" i="1"/>
  <c r="J845" i="1"/>
  <c r="G845" i="1"/>
  <c r="D845" i="1"/>
  <c r="BJ845" i="1" s="1"/>
  <c r="J844" i="1"/>
  <c r="G844" i="1"/>
  <c r="D844" i="1"/>
  <c r="BJ844" i="1" s="1"/>
  <c r="J843" i="1"/>
  <c r="J842" i="1"/>
  <c r="G842" i="1"/>
  <c r="D842" i="1"/>
  <c r="BJ842" i="1" s="1"/>
  <c r="AB840" i="1"/>
  <c r="AB694" i="1" s="1"/>
  <c r="G840" i="1"/>
  <c r="D840" i="1"/>
  <c r="BJ840" i="1" s="1"/>
  <c r="BE54" i="1"/>
  <c r="BE25" i="1" s="1"/>
  <c r="AR54" i="1"/>
  <c r="AR25" i="1" s="1"/>
  <c r="G54" i="1"/>
  <c r="G25" i="1" s="1"/>
  <c r="F54" i="1"/>
  <c r="D54" i="1"/>
  <c r="D25" i="1" s="1"/>
  <c r="J93" i="1"/>
  <c r="G93" i="1"/>
  <c r="D93" i="1"/>
  <c r="BJ93" i="1" s="1"/>
  <c r="J402" i="1"/>
  <c r="J399" i="1"/>
  <c r="J145" i="1"/>
  <c r="W32" i="2" l="1"/>
  <c r="G7" i="2"/>
  <c r="BD7" i="2"/>
  <c r="I971" i="1"/>
  <c r="I36" i="2" s="1"/>
  <c r="I14" i="2"/>
  <c r="BD13" i="2"/>
  <c r="BD14" i="2"/>
  <c r="AR971" i="1"/>
  <c r="AQ36" i="2" s="1"/>
  <c r="AQ7" i="2"/>
  <c r="BJ210" i="1"/>
  <c r="D7" i="2"/>
  <c r="BJ54" i="1"/>
  <c r="BH402" i="1"/>
  <c r="BM402" i="1" s="1"/>
  <c r="BH841" i="1"/>
  <c r="BM841" i="1" s="1"/>
  <c r="BH843" i="1"/>
  <c r="BM843" i="1" s="1"/>
  <c r="BH145" i="1"/>
  <c r="BH125" i="1" s="1"/>
  <c r="BG11" i="2" s="1"/>
  <c r="BH845" i="1"/>
  <c r="BM845" i="1" s="1"/>
  <c r="BH526" i="1"/>
  <c r="BH502" i="1" s="1"/>
  <c r="BG22" i="2" s="1"/>
  <c r="BH399" i="1"/>
  <c r="BM399" i="1" s="1"/>
  <c r="BH93" i="1"/>
  <c r="BH64" i="1" s="1"/>
  <c r="BG9" i="2" s="1"/>
  <c r="BH842" i="1"/>
  <c r="BM842" i="1" s="1"/>
  <c r="BH844" i="1"/>
  <c r="BM844" i="1" s="1"/>
  <c r="BH638" i="1"/>
  <c r="BH624" i="1" s="1"/>
  <c r="BG28" i="2" s="1"/>
  <c r="H607" i="1"/>
  <c r="H27" i="2" s="1"/>
  <c r="J840" i="1"/>
  <c r="P32" i="2"/>
  <c r="BH607" i="1"/>
  <c r="BG27" i="2" s="1"/>
  <c r="J607" i="1"/>
  <c r="J54" i="1"/>
  <c r="J846" i="1"/>
  <c r="J210" i="1"/>
  <c r="G209" i="1"/>
  <c r="BE839" i="1"/>
  <c r="AA839" i="1"/>
  <c r="G839" i="1"/>
  <c r="AO836" i="1"/>
  <c r="AO694" i="1" s="1"/>
  <c r="Z836" i="1"/>
  <c r="G836" i="1"/>
  <c r="G835" i="1"/>
  <c r="F835" i="1"/>
  <c r="D835" i="1"/>
  <c r="BM839" i="1" l="1"/>
  <c r="AA694" i="1"/>
  <c r="Z32" i="2" s="1"/>
  <c r="BM836" i="1"/>
  <c r="BH267" i="1"/>
  <c r="BM526" i="1"/>
  <c r="BM93" i="1"/>
  <c r="BM638" i="1"/>
  <c r="J27" i="2"/>
  <c r="BM607" i="1"/>
  <c r="BM145" i="1"/>
  <c r="AB971" i="1"/>
  <c r="AA36" i="2" s="1"/>
  <c r="AA32" i="2"/>
  <c r="AO971" i="1"/>
  <c r="AN36" i="2" s="1"/>
  <c r="AN32" i="2"/>
  <c r="Y13" i="2"/>
  <c r="Y14" i="2"/>
  <c r="P13" i="2"/>
  <c r="P14" i="2"/>
  <c r="BJ835" i="1"/>
  <c r="H32" i="2"/>
  <c r="BH54" i="1"/>
  <c r="BH25" i="1" s="1"/>
  <c r="H14" i="2"/>
  <c r="BH840" i="1"/>
  <c r="BH846" i="1"/>
  <c r="BM846" i="1" s="1"/>
  <c r="BH210" i="1"/>
  <c r="BH161" i="1" s="1"/>
  <c r="H266" i="1"/>
  <c r="H17" i="2" s="1"/>
  <c r="Z832" i="1"/>
  <c r="BM832" i="1" s="1"/>
  <c r="Z831" i="1"/>
  <c r="BM831" i="1" s="1"/>
  <c r="G831" i="1"/>
  <c r="G830" i="1"/>
  <c r="G828" i="1"/>
  <c r="G11" i="1"/>
  <c r="G5" i="1" s="1"/>
  <c r="G4" i="2" s="1"/>
  <c r="BH694" i="1" l="1"/>
  <c r="BM840" i="1"/>
  <c r="BG14" i="2"/>
  <c r="AA971" i="1"/>
  <c r="Z36" i="2" s="1"/>
  <c r="BG7" i="2"/>
  <c r="BM54" i="1"/>
  <c r="BM210" i="1"/>
  <c r="Q971" i="1"/>
  <c r="P36" i="2" s="1"/>
  <c r="BH266" i="1"/>
  <c r="BG17" i="2" s="1"/>
  <c r="BG18" i="2"/>
  <c r="H971" i="1"/>
  <c r="H36" i="2" s="1"/>
  <c r="F388" i="1"/>
  <c r="BJ388" i="1" s="1"/>
  <c r="G825" i="1"/>
  <c r="F203" i="1"/>
  <c r="BJ203" i="1" s="1"/>
  <c r="G821" i="1"/>
  <c r="AQ820" i="1"/>
  <c r="BM820" i="1" s="1"/>
  <c r="G820" i="1"/>
  <c r="BH157" i="1" l="1"/>
  <c r="BG13" i="2" s="1"/>
  <c r="BG32" i="2"/>
  <c r="J203" i="1"/>
  <c r="BM203" i="1" s="1"/>
  <c r="V14" i="1"/>
  <c r="U5" i="2" s="1"/>
  <c r="Z819" i="1"/>
  <c r="BE815" i="1"/>
  <c r="BM815" i="1" s="1"/>
  <c r="BE811" i="1"/>
  <c r="BM811" i="1" s="1"/>
  <c r="BE809" i="1"/>
  <c r="G809" i="1"/>
  <c r="BM809" i="1" l="1"/>
  <c r="BE694" i="1"/>
  <c r="BD32" i="2" s="1"/>
  <c r="BM819" i="1"/>
  <c r="Z694" i="1"/>
  <c r="Y32" i="2" s="1"/>
  <c r="BH971" i="1"/>
  <c r="BG36" i="2" s="1"/>
  <c r="BM157" i="1"/>
  <c r="U13" i="2"/>
  <c r="U14" i="2"/>
  <c r="BJ89" i="1"/>
  <c r="AQ635" i="1"/>
  <c r="V240" i="1"/>
  <c r="U16" i="2" s="1"/>
  <c r="BE16" i="1"/>
  <c r="V64" i="1"/>
  <c r="U9" i="2" s="1"/>
  <c r="X200" i="1"/>
  <c r="X161" i="1" s="1"/>
  <c r="G804" i="1"/>
  <c r="AQ803" i="1"/>
  <c r="G803" i="1"/>
  <c r="G800" i="1"/>
  <c r="G797" i="1"/>
  <c r="BM803" i="1" l="1"/>
  <c r="AQ694" i="1"/>
  <c r="AP32" i="2" s="1"/>
  <c r="Z971" i="1"/>
  <c r="Y36" i="2" s="1"/>
  <c r="W14" i="2"/>
  <c r="BM200" i="1"/>
  <c r="AQ624" i="1"/>
  <c r="AQ266" i="1" s="1"/>
  <c r="AP17" i="2" s="1"/>
  <c r="BM635" i="1"/>
  <c r="BE14" i="1"/>
  <c r="BD5" i="2" s="1"/>
  <c r="BM16" i="1"/>
  <c r="V971" i="1"/>
  <c r="U36" i="2" s="1"/>
  <c r="F629" i="1"/>
  <c r="BJ629" i="1" s="1"/>
  <c r="E959" i="1"/>
  <c r="G739" i="1"/>
  <c r="F739" i="1"/>
  <c r="D739" i="1"/>
  <c r="F736" i="1"/>
  <c r="D736" i="1"/>
  <c r="AP28" i="2" l="1"/>
  <c r="BE971" i="1"/>
  <c r="BD36" i="2" s="1"/>
  <c r="AQ971" i="1"/>
  <c r="AP36" i="2" s="1"/>
  <c r="X971" i="1"/>
  <c r="W36" i="2" s="1"/>
  <c r="W13" i="2"/>
  <c r="BJ739" i="1"/>
  <c r="BJ736" i="1"/>
  <c r="BJ740" i="1"/>
  <c r="BJ738" i="1"/>
  <c r="F624" i="1"/>
  <c r="F959" i="1"/>
  <c r="BJ959" i="1" s="1"/>
  <c r="E953" i="1"/>
  <c r="E35" i="2" s="1"/>
  <c r="F19" i="1"/>
  <c r="BJ19" i="1" s="1"/>
  <c r="D18" i="1"/>
  <c r="D6" i="2" s="1"/>
  <c r="F323" i="1"/>
  <c r="BJ323" i="1" s="1"/>
  <c r="J27" i="1"/>
  <c r="BM27" i="1" l="1"/>
  <c r="BD971" i="1"/>
  <c r="BC36" i="2" s="1"/>
  <c r="BC7" i="2"/>
  <c r="BJ624" i="1"/>
  <c r="F28" i="2"/>
  <c r="J19" i="1"/>
  <c r="F18" i="1"/>
  <c r="F505" i="1"/>
  <c r="BJ505" i="1" s="1"/>
  <c r="F682" i="1"/>
  <c r="BJ682" i="1" s="1"/>
  <c r="F681" i="1"/>
  <c r="F130" i="1"/>
  <c r="BJ130" i="1" s="1"/>
  <c r="F605" i="1"/>
  <c r="BJ605" i="1" s="1"/>
  <c r="F955" i="1"/>
  <c r="BJ955" i="1" s="1"/>
  <c r="F954" i="1"/>
  <c r="BJ954" i="1" s="1"/>
  <c r="J628" i="1"/>
  <c r="BM628" i="1" s="1"/>
  <c r="F26" i="1"/>
  <c r="F25" i="1" s="1"/>
  <c r="D76" i="1"/>
  <c r="D169" i="1"/>
  <c r="D161" i="1" s="1"/>
  <c r="F728" i="1"/>
  <c r="BJ728" i="1" s="1"/>
  <c r="F727" i="1"/>
  <c r="BJ727" i="1" s="1"/>
  <c r="F726" i="1"/>
  <c r="BJ726" i="1" s="1"/>
  <c r="F725" i="1"/>
  <c r="BJ725" i="1" s="1"/>
  <c r="F724" i="1"/>
  <c r="BJ724" i="1" s="1"/>
  <c r="G723" i="1"/>
  <c r="F723" i="1"/>
  <c r="BJ723" i="1" s="1"/>
  <c r="F722" i="1"/>
  <c r="BJ681" i="1" l="1"/>
  <c r="F680" i="1"/>
  <c r="F694" i="1"/>
  <c r="F32" i="2" s="1"/>
  <c r="BJ722" i="1"/>
  <c r="BJ26" i="1"/>
  <c r="J18" i="1"/>
  <c r="BM19" i="1"/>
  <c r="BJ18" i="1"/>
  <c r="F6" i="2"/>
  <c r="BJ729" i="1"/>
  <c r="F603" i="1"/>
  <c r="F502" i="1"/>
  <c r="F22" i="2" s="1"/>
  <c r="F125" i="1"/>
  <c r="J728" i="1"/>
  <c r="BM728" i="1" s="1"/>
  <c r="J955" i="1"/>
  <c r="BM955" i="1" s="1"/>
  <c r="G682" i="1"/>
  <c r="F169" i="1"/>
  <c r="BJ169" i="1" s="1"/>
  <c r="D14" i="2"/>
  <c r="F76" i="1"/>
  <c r="BJ76" i="1" s="1"/>
  <c r="D64" i="1"/>
  <c r="D9" i="2" s="1"/>
  <c r="J954" i="1"/>
  <c r="BM954" i="1" s="1"/>
  <c r="F953" i="1"/>
  <c r="G722" i="1"/>
  <c r="J26" i="1"/>
  <c r="J25" i="1" s="1"/>
  <c r="G681" i="1"/>
  <c r="J729" i="1"/>
  <c r="BM729" i="1" s="1"/>
  <c r="F313" i="1"/>
  <c r="F267" i="1" s="1"/>
  <c r="F168" i="1"/>
  <c r="G626" i="1"/>
  <c r="G940" i="1"/>
  <c r="G937" i="1"/>
  <c r="E304" i="1"/>
  <c r="E267" i="1" s="1"/>
  <c r="F161" i="1" l="1"/>
  <c r="G680" i="1"/>
  <c r="BJ313" i="1"/>
  <c r="F18" i="2"/>
  <c r="BJ304" i="1"/>
  <c r="E18" i="2"/>
  <c r="BJ168" i="1"/>
  <c r="BJ161" i="1" s="1"/>
  <c r="BM26" i="1"/>
  <c r="J6" i="2"/>
  <c r="BM18" i="1"/>
  <c r="BJ680" i="1"/>
  <c r="F31" i="2"/>
  <c r="BJ603" i="1"/>
  <c r="F26" i="2"/>
  <c r="BJ953" i="1"/>
  <c r="F35" i="2"/>
  <c r="BJ25" i="1"/>
  <c r="F7" i="2"/>
  <c r="BJ125" i="1"/>
  <c r="F11" i="2"/>
  <c r="J953" i="1"/>
  <c r="G31" i="2"/>
  <c r="G624" i="1"/>
  <c r="G28" i="2" s="1"/>
  <c r="F64" i="1"/>
  <c r="G168" i="1"/>
  <c r="G161" i="1" s="1"/>
  <c r="G934" i="1"/>
  <c r="G33" i="2" s="1"/>
  <c r="J226" i="1"/>
  <c r="BM226" i="1" s="1"/>
  <c r="J461" i="1"/>
  <c r="BM461" i="1" s="1"/>
  <c r="J15" i="1"/>
  <c r="BM15" i="1" s="1"/>
  <c r="J162" i="1"/>
  <c r="J161" i="1" s="1"/>
  <c r="BM161" i="1" s="1"/>
  <c r="J71" i="1"/>
  <c r="BM71" i="1" s="1"/>
  <c r="J301" i="1"/>
  <c r="BM301" i="1" s="1"/>
  <c r="J126" i="1"/>
  <c r="BM126" i="1" s="1"/>
  <c r="J721" i="1"/>
  <c r="BM721" i="1" s="1"/>
  <c r="J70" i="1"/>
  <c r="BM70" i="1" s="1"/>
  <c r="J69" i="1"/>
  <c r="BM69" i="1" s="1"/>
  <c r="J68" i="1"/>
  <c r="BM68" i="1" s="1"/>
  <c r="J242" i="1"/>
  <c r="BM242" i="1" s="1"/>
  <c r="J241" i="1"/>
  <c r="BM241" i="1" s="1"/>
  <c r="J625" i="1"/>
  <c r="BM625" i="1" s="1"/>
  <c r="J948" i="1"/>
  <c r="BM948" i="1" s="1"/>
  <c r="J720" i="1"/>
  <c r="BM720" i="1" s="1"/>
  <c r="D720" i="1"/>
  <c r="BJ720" i="1" s="1"/>
  <c r="J719" i="1"/>
  <c r="BM719" i="1" s="1"/>
  <c r="J718" i="1"/>
  <c r="BM718" i="1" s="1"/>
  <c r="J717" i="1"/>
  <c r="BM717" i="1" s="1"/>
  <c r="G717" i="1"/>
  <c r="G694" i="1" s="1"/>
  <c r="D717" i="1"/>
  <c r="J503" i="1"/>
  <c r="BM503" i="1" s="1"/>
  <c r="D503" i="1"/>
  <c r="J67" i="1"/>
  <c r="BM67" i="1" s="1"/>
  <c r="J66" i="1"/>
  <c r="J460" i="1"/>
  <c r="J300" i="1"/>
  <c r="D694" i="1" l="1"/>
  <c r="D32" i="2" s="1"/>
  <c r="J694" i="1"/>
  <c r="BM460" i="1"/>
  <c r="J439" i="1"/>
  <c r="BM439" i="1" s="1"/>
  <c r="BM300" i="1"/>
  <c r="J267" i="1"/>
  <c r="BJ717" i="1"/>
  <c r="G32" i="2"/>
  <c r="G14" i="2"/>
  <c r="BM162" i="1"/>
  <c r="J35" i="2"/>
  <c r="BM953" i="1"/>
  <c r="G66" i="1"/>
  <c r="G64" i="1" s="1"/>
  <c r="G9" i="2" s="1"/>
  <c r="BM66" i="1"/>
  <c r="J7" i="2"/>
  <c r="BM25" i="1"/>
  <c r="F14" i="2"/>
  <c r="BJ64" i="1"/>
  <c r="F9" i="2"/>
  <c r="D502" i="1"/>
  <c r="D22" i="2" s="1"/>
  <c r="BJ503" i="1"/>
  <c r="BJ267" i="1"/>
  <c r="J225" i="1"/>
  <c r="J502" i="1"/>
  <c r="BM502" i="1" s="1"/>
  <c r="E266" i="1"/>
  <c r="J947" i="1"/>
  <c r="J624" i="1"/>
  <c r="J125" i="1"/>
  <c r="J14" i="1"/>
  <c r="G266" i="1"/>
  <c r="G17" i="2" s="1"/>
  <c r="F266" i="1"/>
  <c r="F17" i="2" s="1"/>
  <c r="J240" i="1"/>
  <c r="J64" i="1"/>
  <c r="J32" i="2" l="1"/>
  <c r="BM694" i="1"/>
  <c r="J28" i="2"/>
  <c r="BM624" i="1"/>
  <c r="J14" i="2"/>
  <c r="J16" i="2"/>
  <c r="BM240" i="1"/>
  <c r="J22" i="2"/>
  <c r="J5" i="2"/>
  <c r="BM14" i="1"/>
  <c r="J34" i="2"/>
  <c r="BM947" i="1"/>
  <c r="J15" i="2"/>
  <c r="BM225" i="1"/>
  <c r="J19" i="2"/>
  <c r="J9" i="2"/>
  <c r="BM64" i="1"/>
  <c r="J18" i="2"/>
  <c r="BM267" i="1"/>
  <c r="J11" i="2"/>
  <c r="BM125" i="1"/>
  <c r="E971" i="1"/>
  <c r="E36" i="2" s="1"/>
  <c r="E17" i="2"/>
  <c r="BJ694" i="1"/>
  <c r="D266" i="1"/>
  <c r="BJ502" i="1"/>
  <c r="F971" i="1"/>
  <c r="F36" i="2" s="1"/>
  <c r="G971" i="1"/>
  <c r="G36" i="2" s="1"/>
  <c r="J266" i="1"/>
  <c r="BM266" i="1" s="1"/>
  <c r="BJ266" i="1" l="1"/>
  <c r="D17" i="2"/>
  <c r="J971" i="1"/>
  <c r="J17" i="2"/>
  <c r="D971" i="1"/>
  <c r="D36" i="2" s="1"/>
  <c r="J36" i="2" l="1"/>
  <c r="BM971" i="1"/>
</calcChain>
</file>

<file path=xl/sharedStrings.xml><?xml version="1.0" encoding="utf-8"?>
<sst xmlns="http://schemas.openxmlformats.org/spreadsheetml/2006/main" count="4021" uniqueCount="1318">
  <si>
    <t>Công trình, dự án đưa vào quy hoạch</t>
  </si>
  <si>
    <t>Mã loại đất</t>
  </si>
  <si>
    <t>Diện tích (ha)</t>
  </si>
  <si>
    <t>Lấy từ các loại đất</t>
  </si>
  <si>
    <t>Xứ đồng, thôn, xóm</t>
  </si>
  <si>
    <t>Địa điểm 
(đến cấp xã)</t>
  </si>
  <si>
    <t>Năm 
thực hiện</t>
  </si>
  <si>
    <t>Ghi 
chú</t>
  </si>
  <si>
    <t xml:space="preserve">Diện tích 
quy hoạch </t>
  </si>
  <si>
    <t xml:space="preserve">Diện tích
 hiện trạng </t>
  </si>
  <si>
    <t>Diện tích 
tăng thêm</t>
  </si>
  <si>
    <t>LUA</t>
  </si>
  <si>
    <t>RĐD</t>
  </si>
  <si>
    <t>Đất 
khác</t>
  </si>
  <si>
    <t>RPH</t>
  </si>
  <si>
    <t>RPT</t>
  </si>
  <si>
    <t>RPM</t>
  </si>
  <si>
    <t>RDN</t>
  </si>
  <si>
    <t>RDT</t>
  </si>
  <si>
    <t>RDM</t>
  </si>
  <si>
    <t>RSX</t>
  </si>
  <si>
    <t>RSN</t>
  </si>
  <si>
    <t>RST</t>
  </si>
  <si>
    <t>RSM</t>
  </si>
  <si>
    <t>HNK</t>
  </si>
  <si>
    <t>CLN</t>
  </si>
  <si>
    <t>NTS</t>
  </si>
  <si>
    <t>LMU</t>
  </si>
  <si>
    <t>NKH</t>
  </si>
  <si>
    <t>ONT</t>
  </si>
  <si>
    <t>ODT</t>
  </si>
  <si>
    <t>TSC</t>
  </si>
  <si>
    <t>CQP</t>
  </si>
  <si>
    <t>CAN</t>
  </si>
  <si>
    <t>DTS</t>
  </si>
  <si>
    <t>DVH</t>
  </si>
  <si>
    <t>DXH</t>
  </si>
  <si>
    <t>DYT</t>
  </si>
  <si>
    <t>DGD</t>
  </si>
  <si>
    <t>DTT</t>
  </si>
  <si>
    <t>DKH</t>
  </si>
  <si>
    <t>DGT</t>
  </si>
  <si>
    <t>DTL</t>
  </si>
  <si>
    <t>DDT</t>
  </si>
  <si>
    <t>DNL</t>
  </si>
  <si>
    <t>DBV</t>
  </si>
  <si>
    <t>DCH</t>
  </si>
  <si>
    <t>DSH</t>
  </si>
  <si>
    <t>DKV</t>
  </si>
  <si>
    <t>DRA</t>
  </si>
  <si>
    <t>TON</t>
  </si>
  <si>
    <t>TIN</t>
  </si>
  <si>
    <t>NTD</t>
  </si>
  <si>
    <t>SON</t>
  </si>
  <si>
    <t>MNC</t>
  </si>
  <si>
    <t>BCS</t>
  </si>
  <si>
    <t>TMD</t>
  </si>
  <si>
    <t>SKC</t>
  </si>
  <si>
    <t>Xã Ngọc Sơn</t>
  </si>
  <si>
    <t>Mở rộng trường Mầm non</t>
  </si>
  <si>
    <t>Mở rộng trụ sở UBND xã</t>
  </si>
  <si>
    <t xml:space="preserve">Mở rộng nghĩa trang </t>
  </si>
  <si>
    <t>Mở rộng Vùng lấy đất san lấp</t>
  </si>
  <si>
    <t>SKX</t>
  </si>
  <si>
    <t xml:space="preserve">NKH </t>
  </si>
  <si>
    <t>Công trình dự án đường giao thông liên xã Ngọc Sơn đi Lưu Vĩnh Sơn</t>
  </si>
  <si>
    <t>Nhà máy gạch thôn Trung Tâm, xã Ngọc Sơn của Công ty CP Đầu tư &amp; XD Phú Hưng Hà Tĩnh</t>
  </si>
  <si>
    <t>Thị trấn Thạch Hà</t>
  </si>
  <si>
    <t>Xây dựng khu huấn luyện quân sự, võ thuật (Trung đội Cảnh Sát Cơ Động)</t>
  </si>
  <si>
    <t>Mở rộng đường huyện lộ Thị trấn - Thạch Hương (đoạn qua thị trấn 2,2km)</t>
  </si>
  <si>
    <t>Dự án AFD (cải tạo môi trường đô thị nhằm giảm thiểu tác động của biến đổi khí hậu)</t>
  </si>
  <si>
    <t>Toàn thị trấn Thạch Hà</t>
  </si>
  <si>
    <t>Kè sông cày (2km)</t>
  </si>
  <si>
    <t>Tổ dân phố 10</t>
  </si>
  <si>
    <t>Dự án AFD (cải tạo môi trường đô thị nhằm giảm thiểu tác động của biến đổi khí hậu) gồm hệ thống thoát nước, cải tạo hồ điều hòa</t>
  </si>
  <si>
    <t>Đất du lịch, sinh thái và Trải nghiệm Tân Tiến</t>
  </si>
  <si>
    <t>Mở rộng đường Đồng Văn Năng</t>
  </si>
  <si>
    <t xml:space="preserve">Mở rộng Nghĩa trang </t>
  </si>
  <si>
    <t>Công trình, dự án: Đường trục chính kết nối các xã phía Tây về trung tâm huyện Thạch Hà</t>
  </si>
  <si>
    <t>Công trình, dự án: Cải tạo, nâng cấp hệ thống thủy lợi Rào Trẻn, sông Cầu Sông - sông Già, Hói Trộ, huyện Thạch Hà</t>
  </si>
  <si>
    <t>Hạ tầng dân cư tổ 7, tổ 13</t>
  </si>
  <si>
    <t>Xã Tượng Sơn</t>
  </si>
  <si>
    <t>Địa Seo, thôn  Đoài Phú, Nương Chương, thôn Đoài Phú, Đội Đông, thôn Đoài Phú, xã Tượng Sơn</t>
  </si>
  <si>
    <t>Toàn xã Tượng Sơn</t>
  </si>
  <si>
    <t>Đất nuôi trồng thủy sản</t>
  </si>
  <si>
    <t>Cu Cu, thôn Hà Thanh, Cồn Đâu, thôn Thượng Phú</t>
  </si>
  <si>
    <t>Đội Hoan, thôn Sâm Lộc</t>
  </si>
  <si>
    <t>Cổng Trường, thôn Sâm Lộc</t>
  </si>
  <si>
    <t>Nâng cấp mở rộng đường DH 103</t>
  </si>
  <si>
    <t>Các tổ dân phố</t>
  </si>
  <si>
    <t>Xã Thạch Thắng</t>
  </si>
  <si>
    <t xml:space="preserve">Xã Thạch Thắng </t>
  </si>
  <si>
    <t xml:space="preserve">Dự án thành phần 2: Nâng cấp đường trục xã Thạch Thắng </t>
  </si>
  <si>
    <t>Xã Thạch Văn</t>
  </si>
  <si>
    <t>Mở rộng đền Cá Đức Ông, Đền thờ Đức Mẹ, Đền thành Hoàng Làng, Đền thờ Bản Thị</t>
  </si>
  <si>
    <t>Mở rộng đường Bắc, Trung, Tân</t>
  </si>
  <si>
    <t>Mở rộng đường giao thông Đông Văn - Thạch Hội</t>
  </si>
  <si>
    <t>Xã Thạch Trị, Thạch Văn</t>
  </si>
  <si>
    <t xml:space="preserve">Nâng cấp khe trung om </t>
  </si>
  <si>
    <t>Cải tạo kè sông đạo</t>
  </si>
  <si>
    <t xml:space="preserve">Dự án thành phần 1 đường trục ngang khu du lịch biển Văn -Trị </t>
  </si>
  <si>
    <t>Thôn Tân Phong</t>
  </si>
  <si>
    <t>Xã Đỉnh Bàn</t>
  </si>
  <si>
    <t>4; 303;306; 309;54;55</t>
  </si>
  <si>
    <t>Thôn Tây Sơn</t>
  </si>
  <si>
    <t>Thôn Trường Xuân</t>
  </si>
  <si>
    <t>Thôn Vĩnh Hòa</t>
  </si>
  <si>
    <t>Thôn Văn Sơn</t>
  </si>
  <si>
    <t>8; 10</t>
  </si>
  <si>
    <t>Thôn Thanh Long</t>
  </si>
  <si>
    <t>11;12;307</t>
  </si>
  <si>
    <t>Toàn xã</t>
  </si>
  <si>
    <t>Thôn Vĩnh Sơn</t>
  </si>
  <si>
    <t>Thôn Bình Sơn</t>
  </si>
  <si>
    <t>Khu vực thôn Tây Sơn</t>
  </si>
  <si>
    <t>Núi Nam Giới</t>
  </si>
  <si>
    <t>Dự án thành phần 4: Đường giao thông phục vụ sản xuất muối và nuôi trồng thủy sản xã Thạch Bàn</t>
  </si>
  <si>
    <t>Quy hoạch âu thuyền</t>
  </si>
  <si>
    <t>Xử lý cấp bách đê Hữu Phủ, huyện Thạch Hà, đoạn từ K10+00 đến K15+315</t>
  </si>
  <si>
    <t>Quy hoạch mở rộng đê và kênh mương</t>
  </si>
  <si>
    <t>Hợp tác xã sản xuất muối</t>
  </si>
  <si>
    <t xml:space="preserve">Công trình xây dựng ĐZ, TBA chống quá tải và giảm tổn thất điện năng lưới điện </t>
  </si>
  <si>
    <t>Thôn Vĩnh Hòa, Tây Sơn, thôn Tân Phong</t>
  </si>
  <si>
    <t>1;2;3;4</t>
  </si>
  <si>
    <t>Thôn Liên Hải</t>
  </si>
  <si>
    <t>Xã Thạch Hải</t>
  </si>
  <si>
    <t>6;7;8;5</t>
  </si>
  <si>
    <t>Đất ở dọc đường 19/5,vùng đối diện nhà VH thôn Đại hải, vùng gần nhà Ông Trường ra biển, vùng gần nhà Hoa Chương ra biển</t>
  </si>
  <si>
    <t>Thôn Đại Hải</t>
  </si>
  <si>
    <t>9;38</t>
  </si>
  <si>
    <t>Đất ở thôn Thượng Hải, vùng dọc đường 19/5</t>
  </si>
  <si>
    <t>Thôn Thượng Hải</t>
  </si>
  <si>
    <t>10;11;12;363</t>
  </si>
  <si>
    <t>Thôn Nam Hải</t>
  </si>
  <si>
    <t>Thôn Bắc Hải</t>
  </si>
  <si>
    <t>Đất ở thôn Liên Hải dọc đường tỉnh lộ 555</t>
  </si>
  <si>
    <t>Thao trường bắn biển</t>
  </si>
  <si>
    <t>Đại, Thượng, Nam, Bắc</t>
  </si>
  <si>
    <t>7.24</t>
  </si>
  <si>
    <t>Dự án thành phần 3: Đường giao thông nông thôn xã Thạch Hải</t>
  </si>
  <si>
    <t xml:space="preserve">Dự án nâng cấp, mở rộng đường tỉnh ĐT.550 đoạn Km0+00 - Km5+700 (Thạch Hải đi cầu Thạch Đồng), </t>
  </si>
  <si>
    <t>Liên  Hải, Đại Hải</t>
  </si>
  <si>
    <t>3.8</t>
  </si>
  <si>
    <t>Quy hoạch mở rộng các tuyến đường trên địa bàn xã</t>
  </si>
  <si>
    <t>toàn xã</t>
  </si>
  <si>
    <t>Bắc Hải</t>
  </si>
  <si>
    <t>Nam Hải</t>
  </si>
  <si>
    <t>Đường giao thông thôn Thượng Hải</t>
  </si>
  <si>
    <t>Dự án thành phần 7: Kênh tiêu úng phục vụ sản xuất và dân sinh xã Thạch Hải</t>
  </si>
  <si>
    <t>Quy hoạch đất nuôi trồng thủy sản</t>
  </si>
  <si>
    <t>Quy hoạch trạm biến áp mỏ sắt</t>
  </si>
  <si>
    <t>Mở rộng nhà văn hóa ( Bắc Hải)</t>
  </si>
  <si>
    <t>Quy hoạch khu dịch vụ trải nghiệm núi Long Ngâm (Nam Giới)</t>
  </si>
  <si>
    <t>Thôn Tri Lễ</t>
  </si>
  <si>
    <t>Xã Thạch Kênh</t>
  </si>
  <si>
    <t>3;4;6</t>
  </si>
  <si>
    <t>Thôn Chi Lưu</t>
  </si>
  <si>
    <t>5; 22</t>
  </si>
  <si>
    <t>Thôn Trí Nang</t>
  </si>
  <si>
    <t>Thôn Hòa Hợp</t>
  </si>
  <si>
    <t>14;16</t>
  </si>
  <si>
    <t>15;17;18</t>
  </si>
  <si>
    <t>20;21</t>
  </si>
  <si>
    <t>Thôn Thượng Nguyên</t>
  </si>
  <si>
    <t>Mở rộng trường tiểu học</t>
  </si>
  <si>
    <t>Thôn Thương Nguyên</t>
  </si>
  <si>
    <t>V</t>
  </si>
  <si>
    <t>Quy hoạch khu du lịch sinh thái</t>
  </si>
  <si>
    <t xml:space="preserve">Thôn Thượng Nguyên </t>
  </si>
  <si>
    <t>Hòa Hợp, Tri Lễ, Trí Nang</t>
  </si>
  <si>
    <t>Mở rộng đường liên xã Thạch Kênh - Thạch Sơn (đi qua xã 0,65km)</t>
  </si>
  <si>
    <t>Thôn Tri Lễ, Trí Nang</t>
  </si>
  <si>
    <t>Tiểu dự án thành phần Khắc phục, sữa chữa, nâng cấp tuyến đê Hữu Nghèn huyện Thạch Hà</t>
  </si>
  <si>
    <t>Chi Lưu, Thượng Nguyên, Tri Lễ</t>
  </si>
  <si>
    <t>Thượng Nguyên</t>
  </si>
  <si>
    <t>Chi Lưu, Thượng Nguyên</t>
  </si>
  <si>
    <t>Đất sét Gạch ngói Hói Trẻm</t>
  </si>
  <si>
    <t>25;40</t>
  </si>
  <si>
    <t>Thôn Hanh</t>
  </si>
  <si>
    <t>Xã Thạch Liên</t>
  </si>
  <si>
    <t>41;43;45</t>
  </si>
  <si>
    <t>Thôn Nguyên</t>
  </si>
  <si>
    <t>Thôn Ninh</t>
  </si>
  <si>
    <t>47;48</t>
  </si>
  <si>
    <t>Thôn Khang</t>
  </si>
  <si>
    <t>49;50;51</t>
  </si>
  <si>
    <t>53;54;55;56</t>
  </si>
  <si>
    <t>Thôn Thọ</t>
  </si>
  <si>
    <t>57;58;59;60;61,62</t>
  </si>
  <si>
    <t xml:space="preserve">Thôn Phú Quý </t>
  </si>
  <si>
    <t>22;30;31;217</t>
  </si>
  <si>
    <t>Khu trung tâm xã, thôn Thọ</t>
  </si>
  <si>
    <t>P. Tây Thôn Khang</t>
  </si>
  <si>
    <t>223;222</t>
  </si>
  <si>
    <t>Thôn Phú Quý</t>
  </si>
  <si>
    <t>Tuyến lên lò đốt rác xã Phù Việt</t>
  </si>
  <si>
    <t>Hói trộ, thôn Khang</t>
  </si>
  <si>
    <t>Vùng Nhà Níu, Thôn Nguyên</t>
  </si>
  <si>
    <t>Vùng Phía Bắc cầu Hồng Quang, Thôn Hanh</t>
  </si>
  <si>
    <t>Vùng Tùng Hồ, Thôn Hanh</t>
  </si>
  <si>
    <t>Cồn Dinh, Đội Tám, thôn Qúy</t>
  </si>
  <si>
    <t>Dọc quốc lộ 1A, thôn Thọ</t>
  </si>
  <si>
    <t>Nam cầu Già, Thôn Ninh</t>
  </si>
  <si>
    <t>Đồng Lăng, thôn Ninh</t>
  </si>
  <si>
    <t>Vùng Đồng Tơng, Thôn Lợi</t>
  </si>
  <si>
    <t>Quy hoạch nghĩa trang</t>
  </si>
  <si>
    <t>Đồng Vành, thôn Quý</t>
  </si>
  <si>
    <t>Thôn Tân Hợp</t>
  </si>
  <si>
    <t>Xã Thạch Sơn</t>
  </si>
  <si>
    <t>Thôn Tri Khê</t>
  </si>
  <si>
    <t>Khu du lịch sinh thái</t>
  </si>
  <si>
    <t>Thôn Vạn Đò</t>
  </si>
  <si>
    <t>Thôn Sơn Hà</t>
  </si>
  <si>
    <t>9; 48</t>
  </si>
  <si>
    <t>Thôn Sông Tiến</t>
  </si>
  <si>
    <t>Thôn Đình Hàn</t>
  </si>
  <si>
    <t>13;14;15;  16</t>
  </si>
  <si>
    <t>17;18</t>
  </si>
  <si>
    <t>19;20;49</t>
  </si>
  <si>
    <t>21;22;23; 24</t>
  </si>
  <si>
    <t>26;27;28;    29; 30</t>
  </si>
  <si>
    <t>Thôn Sơn Tiến</t>
  </si>
  <si>
    <t>31;32</t>
  </si>
  <si>
    <t>Thôn Sông Tến</t>
  </si>
  <si>
    <t>Nâng cấp, mở rộng đường nối Quốc lộ 1 tại ngã 3 Thạch Long đi đường tỉnh ĐT.549</t>
  </si>
  <si>
    <t>Nâng cấp đường giao  thông tuyến Vạn Đò đi thôn Sơn Tiến</t>
  </si>
  <si>
    <t>Mở rộng đường Thôn Đình Hàn đi Thạch Kênh</t>
  </si>
  <si>
    <t>Mở rộng đường liên xã Thạch Kênh - Thạch Sơn (còn 1,5km mở rộng)</t>
  </si>
  <si>
    <t>Thôn Thượng Đình, Thôn Tân Hợp</t>
  </si>
  <si>
    <t>Quy hoạch mở rộng nâng cấp trục thôn</t>
  </si>
  <si>
    <t>Mở rộng đường đê Hữu Nghèn</t>
  </si>
  <si>
    <t>Thôn Hạ Hàn, Thượng Đình, Sơn Tiến</t>
  </si>
  <si>
    <t>Thôn Sông Hải</t>
  </si>
  <si>
    <t>Xã Lưu Vĩnh Sơn</t>
  </si>
  <si>
    <t>Các Thôn, xã Lưu Vĩnh Sơn</t>
  </si>
  <si>
    <t>Đất nông nghiệp khác</t>
  </si>
  <si>
    <t>Đất trồng cây lâu năm</t>
  </si>
  <si>
    <t>Mở rộng trường Tiểu học Bắc Sơn</t>
  </si>
  <si>
    <t>Mở rộng trường THCS Tô Hiến Thành</t>
  </si>
  <si>
    <t>Trại tạm giam công an tỉnh</t>
  </si>
  <si>
    <t>Mở rộng trại tạm giam Xuân Hà</t>
  </si>
  <si>
    <t>SKK</t>
  </si>
  <si>
    <t>Đường giao thông trục chính xã Lưu Vĩnh Sơn, huyện Thạch Hà</t>
  </si>
  <si>
    <t>Đường vào nghĩa trang liệt sỹ huyện</t>
  </si>
  <si>
    <t>Khu tăng gia sản xuất của huyện đội Thạch Hà</t>
  </si>
  <si>
    <t>Mở rộng nghĩa trang các thôn</t>
  </si>
  <si>
    <t>Quy hoạch đường giao thông trục xã</t>
  </si>
  <si>
    <t>Xã Nam Điền</t>
  </si>
  <si>
    <t>Dự án bảo vệ nước thượng nguồn hồ Bộc Nguyên</t>
  </si>
  <si>
    <t>Thôn Tân Lộc, xã Nam Điền</t>
  </si>
  <si>
    <t>Mở rộng trường Tiểu học Nam Hương</t>
  </si>
  <si>
    <t>Quy hoạch Khu vui chơi giải trí</t>
  </si>
  <si>
    <t>Mở rộng trường mầm non Nam Hương</t>
  </si>
  <si>
    <t>Mở rộng trường mầm non Thạch Điền</t>
  </si>
  <si>
    <t>Quy hoạch đất trồng cây hàng năm</t>
  </si>
  <si>
    <t>Toàn xã Nam Điền</t>
  </si>
  <si>
    <t>Mở rộng tuyến đường Quốc lộ 8C (tên cũ là Tỉnh lộ 21)</t>
  </si>
  <si>
    <t>Mở rộng trường THCS Hương Điền</t>
  </si>
  <si>
    <t>Nhà học giáo lý họ An Hòa</t>
  </si>
  <si>
    <t>Khu vực diễn tập và huấn luyện hàng năm của tỉnh</t>
  </si>
  <si>
    <t>Quy hoạch trường mầm non xã Thạch Điền</t>
  </si>
  <si>
    <t>Xã Thạch Đài</t>
  </si>
  <si>
    <t>Đường Hàm Nghi kéo dài</t>
  </si>
  <si>
    <t>Mở rộng chùa phúc Linh</t>
  </si>
  <si>
    <t>Mở rộng đường giao thông thôn Kỳ Sơn, xã Thạch Đài</t>
  </si>
  <si>
    <t>Mở rộng khuôn viên nhà văn hoá thôn Bàu Láng</t>
  </si>
  <si>
    <t xml:space="preserve">Mở Rộng nghĩa trang Phát Lát </t>
  </si>
  <si>
    <t>Mở rộng trường mầm non xã Thạch Đài</t>
  </si>
  <si>
    <t>Mở rộng trường THCS Hàm Nghi</t>
  </si>
  <si>
    <t>Quy hoạch đất khu du lịch sinh thái và thương mại dịch vụ</t>
  </si>
  <si>
    <t>Quy hoạch đất khu vui chơi giải trí</t>
  </si>
  <si>
    <t>Mở rộng đường giao thông cầu cố tuyên đi thôn Thống Nhất</t>
  </si>
  <si>
    <t xml:space="preserve">Quy hoạch khu công nghiệp phía Tây </t>
  </si>
  <si>
    <t>Xã Lưu Vĩnh Sơn, xã Thạch Đài và xã Thạch Xuân</t>
  </si>
  <si>
    <t>Quy hoạch mới đài tưởng niệm</t>
  </si>
  <si>
    <t>Quy hoạch trụ sở công an xã</t>
  </si>
  <si>
    <t>Thu hồi đất, bồi thường GPMB tạo quỹ đất sạch hai bên đường Hàm Nghi để đấu giá đất</t>
  </si>
  <si>
    <t>Đường đi khu chăn nuôi tập trung</t>
  </si>
  <si>
    <t>Đường giao thông thôn Liên Vinh đi Đại Đồng</t>
  </si>
  <si>
    <t>Đường giao thông cầu cố Hảo nối đường trục xã</t>
  </si>
  <si>
    <t>Xã Thạch Trị</t>
  </si>
  <si>
    <t>Đồn Biên phòng Cửa Sót</t>
  </si>
  <si>
    <t>Quy hoạch khu vui chơi giải trí</t>
  </si>
  <si>
    <t>Quy hoạch đất nông nghiệp khác</t>
  </si>
  <si>
    <t>Quy hoạch đất nuôi trồng thuỷ sản</t>
  </si>
  <si>
    <t>Xã Thạch Xuân</t>
  </si>
  <si>
    <t>Mở rộng nhà thờ họ Trần</t>
  </si>
  <si>
    <t>Mở rộng đường liên xã Thạch Xuân - Thạch Đài (qua xã 3,5km)</t>
  </si>
  <si>
    <t>Quy hoạch Nhà máy nước</t>
  </si>
  <si>
    <t>Quy hoạch Khu sinh thái</t>
  </si>
  <si>
    <t>Quy hoạch đường giao thông vào khu chăn nuôi tập trung</t>
  </si>
  <si>
    <t>Đường từ tuyến nhánh TL21 đến ĐH 102</t>
  </si>
  <si>
    <t>Trạm sửa chữa Z12</t>
  </si>
  <si>
    <t>Thôn Mỹ Triều</t>
  </si>
  <si>
    <t>Xã Tân Lâm Hương</t>
  </si>
  <si>
    <t>Thôn Bình Tiến</t>
  </si>
  <si>
    <t>Quy hoạch Chợ Thạch Tân</t>
  </si>
  <si>
    <t>Đường kè bờ sông</t>
  </si>
  <si>
    <t>Thôn Sơn Trình</t>
  </si>
  <si>
    <t>Quy hoạch hệ thống đường giao thông</t>
  </si>
  <si>
    <t>Đường giao thông LX03 (Tân Hương)</t>
  </si>
  <si>
    <t>Thôn Trung Thành, Mỹ Triều, Tân Hòa, Hương Long</t>
  </si>
  <si>
    <t xml:space="preserve">Nâng cấp, mở rộng giao thông từ Cầu Phủ 2 đi Sơn Trình </t>
  </si>
  <si>
    <t>Quy hoạch nhà văn hóa</t>
  </si>
  <si>
    <t>Quy hoạch hệ thống kênh, mương</t>
  </si>
  <si>
    <t>Thôn 17, thôn 18, thôn Tân Tiến</t>
  </si>
  <si>
    <t>Quy hoạch đất ở nông thôn</t>
  </si>
  <si>
    <t>Thôn Tân Tiến</t>
  </si>
  <si>
    <t>Thôn Tiến Thượng, Phái Nam</t>
  </si>
  <si>
    <t>Thôn Văn Minh, thôn Tiến Bộ</t>
  </si>
  <si>
    <t>Đồng Mầu, thôn Thắng Hòa</t>
  </si>
  <si>
    <t>Quy hoạch đất ở nông thôn (đất hạ tầng và khu dân cư)</t>
  </si>
  <si>
    <t>Đồng Sim, thôn 17, thôn 18</t>
  </si>
  <si>
    <t>Vùng Hội Quán, thôn Văn Minh</t>
  </si>
  <si>
    <t>Vùng Ngõ Phượng, Trung Hòa</t>
  </si>
  <si>
    <t>Vùng Ngõ Nhâm 2, thôn Bình Tiến</t>
  </si>
  <si>
    <t>Vùng Ngõ Ông Phượng, Văn Minh</t>
  </si>
  <si>
    <t>Vùng Hội Quán, Tân Hòa</t>
  </si>
  <si>
    <t>Quy hoạch đất ỏ nông thôn</t>
  </si>
  <si>
    <t>Thôn Nhân Hòa</t>
  </si>
  <si>
    <t>Thôn Hương Mỹ</t>
  </si>
  <si>
    <t xml:space="preserve"> Đồng Hoang Rồng + Hoang Nẩy, Thôn La Xá, Phái Đông</t>
  </si>
  <si>
    <t>Thôn La Xá, Phái Nam</t>
  </si>
  <si>
    <t>Thôn Kỷ Các</t>
  </si>
  <si>
    <t>Sân thể thao cũ, Thôn Tiền Thượng</t>
  </si>
  <si>
    <t>Cạnh đường QL 1B, Thôn Phái Nam, Phái Đông</t>
  </si>
  <si>
    <t>vùng A2, hè ánh 
thôn Thắng Hoà</t>
  </si>
  <si>
    <t xml:space="preserve"> vùng Nhà Chôi, thôn 18</t>
  </si>
  <si>
    <t xml:space="preserve"> thôn 17</t>
  </si>
  <si>
    <t>Vùng Cửa Trước, thôn Tiến Bộ, thôn Văn Minh</t>
  </si>
  <si>
    <t>thôn Đông Tân</t>
  </si>
  <si>
    <t xml:space="preserve"> thôn La xá, thôn Tân Hoà</t>
  </si>
  <si>
    <t>thôn Yên Trung, thôn Trung Thành</t>
  </si>
  <si>
    <t>thôn Tân Tiến</t>
  </si>
  <si>
    <t>thôn Văn Bình</t>
  </si>
  <si>
    <t>vùng Ngõ Kiểm, thôn Trung Hòa</t>
  </si>
  <si>
    <t>vùng ngõ ông Phúc, Thôn Tân Hòa</t>
  </si>
  <si>
    <t>Khu đô thị Hàm Nghi tại thành phố Hà Tĩnh và Thạch Hà</t>
  </si>
  <si>
    <t>SKN</t>
  </si>
  <si>
    <t xml:space="preserve">Quy hoạch đất thương mại - dịch vụ </t>
  </si>
  <si>
    <t>Thôn Tiến Bộ, Thôn La Xá, Thôn Phái Đông, Thôn Đồng Tân, Mỹ Triều, Đình Tiến, Tân Hòa</t>
  </si>
  <si>
    <t>Mở rộng giáo họ Nhân Hoà</t>
  </si>
  <si>
    <t>Mở rộng giáo họ Văn Hội</t>
  </si>
  <si>
    <t>Thôn 18</t>
  </si>
  <si>
    <t>Mở rộng nghĩa trang</t>
  </si>
  <si>
    <t>Quy hoạch trụ sở UBND xã</t>
  </si>
  <si>
    <t>Thôn Liên Phố</t>
  </si>
  <si>
    <t>Xã Thạch Hội</t>
  </si>
  <si>
    <t xml:space="preserve">Mở rộng Đường giao thông trục xã, trục thôn, ngõ xóm, nội đồng </t>
  </si>
  <si>
    <t>Công trình, dự án: Đường giao thông từ Quốc lộ 15B đến khu dân cư mẫu thôn Hội Tiến, xã Thạch Hội</t>
  </si>
  <si>
    <t>Thôn Liên Phố, Thôn Liên Quý, Thôn Liên Mỹ, thôn Bình Dương</t>
  </si>
  <si>
    <t>Thôn Bình Dương</t>
  </si>
  <si>
    <t>Quy hoạch đất ở nông thôn (xen dắm)</t>
  </si>
  <si>
    <t>Thôn Liên Mỹ</t>
  </si>
  <si>
    <t>Thôn Bắc Thai</t>
  </si>
  <si>
    <t>Thôn Thai Yên</t>
  </si>
  <si>
    <t>Thôn Liên Quý</t>
  </si>
  <si>
    <t>Thôn Hội Tiến</t>
  </si>
  <si>
    <t xml:space="preserve">Quy hoạch khu dịch vụ du lịch biển </t>
  </si>
  <si>
    <t>Quy hoạch đất thương mại, dịch vụ</t>
  </si>
  <si>
    <t>Mở rộng chùa Từ Nhan</t>
  </si>
  <si>
    <t>Mở rộng trường mầm non</t>
  </si>
  <si>
    <t>Mở rộng nghĩa trang Đền Thánh</t>
  </si>
  <si>
    <t>Thôn Thanh Quang</t>
  </si>
  <si>
    <t>Xã Thạch Lạc</t>
  </si>
  <si>
    <t>Quy hoạch tuyến đường giao thông</t>
  </si>
  <si>
    <t>Thôn Quyết Tiến, thôn Thanh Quang</t>
  </si>
  <si>
    <t>Quy hoạch đất tiểu công viên</t>
  </si>
  <si>
    <t>Thôn Bắc Lạc, Thôn Vĩnh Thịnh, thôn Thanh Quang</t>
  </si>
  <si>
    <t>Thôn Quyết Tiến, thôn Hòa Lạc</t>
  </si>
  <si>
    <t>Thôn Quyết Tiến</t>
  </si>
  <si>
    <t>Thôn Trung Lạc</t>
  </si>
  <si>
    <t xml:space="preserve">Thôn Vĩnh Thịnh, </t>
  </si>
  <si>
    <t>Thôn Bắc Lạc</t>
  </si>
  <si>
    <t>Thôn Hòa Lạc</t>
  </si>
  <si>
    <t>Quy hoạch trụ sở quân sự xã</t>
  </si>
  <si>
    <t>Mở rộng nhà thờ</t>
  </si>
  <si>
    <t>Xã Thạch Long</t>
  </si>
  <si>
    <t>Thôn Gia Ngãi 1, Gia Ngãi, Đại Đồng</t>
  </si>
  <si>
    <t>Mở rộng trường Tiểu học</t>
  </si>
  <si>
    <t>Thôn Đan Trung</t>
  </si>
  <si>
    <t>Mở rộng nghĩa trang Mũi Léc</t>
  </si>
  <si>
    <t>Mở rộng nhà thờ Lộc Thuỷ</t>
  </si>
  <si>
    <t>Thôn Đông Hà 2</t>
  </si>
  <si>
    <t>Công trình khu vui chơi giải trí cho người già trẻ em</t>
  </si>
  <si>
    <t>xứ Nhà Nam thôn Đông Hà 2 và thôn Nam Giang</t>
  </si>
  <si>
    <t>Xứ Cấp Tứ, Dọc sông Vách Nam,Thôn Nam Giang</t>
  </si>
  <si>
    <t>Đập Đình Trung và Đồng Ủn, Thôn Đông Hà 1</t>
  </si>
  <si>
    <t>VÙng Hà Lầm,Thôn Đông Hà 2 và thôn  Nam Giang</t>
  </si>
  <si>
    <t>Thôn Gia Ngãi 2</t>
  </si>
  <si>
    <t>Thôn Gia Ngãi 1</t>
  </si>
  <si>
    <t>Thôn Nam Giang</t>
  </si>
  <si>
    <t>Cọi Nhà Đàm,Thôn Đan Trung</t>
  </si>
  <si>
    <t>Điểm bưu điện văn hóa xã</t>
  </si>
  <si>
    <t>Vùng K19, thôn Đông Châu. Vùng Bà Trạ thôn Ngọc Sơn</t>
  </si>
  <si>
    <t>Xã Thạch Ngọc</t>
  </si>
  <si>
    <t>Thôn Mộc Hải</t>
  </si>
  <si>
    <t>Đồng Cơn Sim, Thôn Mộc Hải</t>
  </si>
  <si>
    <t>Nghĩa trang Truông Rọ, Cơn Bàng, đồng Câm</t>
  </si>
  <si>
    <t>Đồng Chùa Bụt, Nhà Kènh, thôn Mỹ Châu</t>
  </si>
  <si>
    <t>Cầu Trùa, Đối diện UBND xã QH mới, Đồng Tùng, thôn Mộc Hải</t>
  </si>
  <si>
    <t>Dọc đường đi xã Ngọc Sơn, Đồng Cửa Chùa, thôn Tân Tiến</t>
  </si>
  <si>
    <t>Vùng Ô, Thôn Quý Hải</t>
  </si>
  <si>
    <t>Vùng Trại Vải, thôn Đại Long</t>
  </si>
  <si>
    <t>Vùng Mụ Cuồi, Trường Lái, Cơn Lã, Bà Trạ, thôn Ngọc Sơn</t>
  </si>
  <si>
    <t>Đồng Trọt Huy, Ao Đen, Dốc Truông Rọ, thôn Đông Châu</t>
  </si>
  <si>
    <t>Vùng Đồng Bơ, thôn Đại Long</t>
  </si>
  <si>
    <t>Vùng Đồng Trạp,Vùng Trọt Làng, thôn Bắc Tiến</t>
  </si>
  <si>
    <t>Mở rộng Đền Ông</t>
  </si>
  <si>
    <t>Thôn Đông Châu</t>
  </si>
  <si>
    <t>Đất thương mại, dịch vụ</t>
  </si>
  <si>
    <t>Cầu Hói - Thôn Mỹ Châu, Bồ Phố - Thôn Bắc Tiến</t>
  </si>
  <si>
    <t>Chùa Yên Lạc</t>
  </si>
  <si>
    <t>Thôn Mỹ Châu</t>
  </si>
  <si>
    <t>Quy hoạch Trạm phát sóng BTS</t>
  </si>
  <si>
    <t>Xã Việt Tiến</t>
  </si>
  <si>
    <t>Thôn Ba Giang</t>
  </si>
  <si>
    <t xml:space="preserve">Mở rộng trường THCS, quy hoạch mới trường </t>
  </si>
  <si>
    <t>Thôn Phúc</t>
  </si>
  <si>
    <t>Mở rộng trường mầm non Việt Xuyên</t>
  </si>
  <si>
    <t>Thôn Tân Long</t>
  </si>
  <si>
    <t>Thị trấn Thạch Hà, xã Lưu Vĩnh Sơn, xã Việt Tiến</t>
  </si>
  <si>
    <t>Cải tạo và nâng cấp hệ thống kênh tưới, tiêu phục vụ SXNN và thoát lũ vùng Bắc Thạch Hà nhằm ứng phó với biến đổi khí hậu (phần bổ sung tuyến nhánh số 01)</t>
  </si>
  <si>
    <t>Thôn Việt Yên</t>
  </si>
  <si>
    <t>Thôn Trung Trinh</t>
  </si>
  <si>
    <t>Thôn Tùng Lăng</t>
  </si>
  <si>
    <t>Thôn Hòa Bình</t>
  </si>
  <si>
    <t xml:space="preserve"> </t>
  </si>
  <si>
    <t>Thôn Thống Nhất</t>
  </si>
  <si>
    <t>Thôn Bùi Xá</t>
  </si>
  <si>
    <t>Thôn Long Minh</t>
  </si>
  <si>
    <t>Thôn Phúc, thôn Vĩnh Mới</t>
  </si>
  <si>
    <t>Mở rộng Nghĩa trang Thống Nhất, Hòa Bình</t>
  </si>
  <si>
    <t>Thôn Thống Nhất, thôn Hòa Bình</t>
  </si>
  <si>
    <t>Mở rộng Nghĩa trang Trung Tiến</t>
  </si>
  <si>
    <t>Thôn Lộc Thọ</t>
  </si>
  <si>
    <t>Thôn Hưng Giang</t>
  </si>
  <si>
    <t>Thôn Phúc, thôn Việt Yên</t>
  </si>
  <si>
    <t>Thôn Lộc Thọ, thôn Phúc</t>
  </si>
  <si>
    <t>Thôn Vĩnh Mới</t>
  </si>
  <si>
    <t>Thôn Trửa, thôn Vĩnh Mới</t>
  </si>
  <si>
    <t>Thôn Trung Tiến</t>
  </si>
  <si>
    <t>Mở rộng lò Đốt rác</t>
  </si>
  <si>
    <t>Cụm công nghiệp Phù Việt</t>
  </si>
  <si>
    <t>Thôn Tân Long, thôn Trung Trinh</t>
  </si>
  <si>
    <t>Thôn Lộc Thọ, thôn Trung Tiến</t>
  </si>
  <si>
    <t>Quy hoạch khu trung tâm xã</t>
  </si>
  <si>
    <t>Thôn Việt Yên, Bùi xá</t>
  </si>
  <si>
    <t>Quy hoạch đất tín ngưỡng</t>
  </si>
  <si>
    <t>STT</t>
  </si>
  <si>
    <t>Quy hoạch đất trồng rau, củ quả (Dự án nông nghiệp công nghệ cao của tập Đoàn FLC), tại xã 164,57 ha, trong đó đã có 113,73 ha đất đã trồng rau.</t>
  </si>
  <si>
    <t>Quy hoạch vùng Trồng mía + Chăn nuôi tổng hợp</t>
  </si>
  <si>
    <t>Quy hoạch đất trồng rau, củ quả (Dự án nông nghiệp công nghệ cao của tập Đoàn FLC), tại xã 75,87 ha, trong đó đã có 8,11 ha đất trồng rau.</t>
  </si>
  <si>
    <t>Quy hoạch Vùng trồng rau, củ quả</t>
  </si>
  <si>
    <t>THỨ TỰ LOẠI ĐẤT</t>
  </si>
  <si>
    <t>Mở rộng Công An huyện Thạch Hà</t>
  </si>
  <si>
    <t xml:space="preserve">Quy hoạch trụ sở công an Thị trấn </t>
  </si>
  <si>
    <t xml:space="preserve">Quy hoạch đất trồng cây lâu năm </t>
  </si>
  <si>
    <t>Quy hoạch mở rộng chợ Mương</t>
  </si>
  <si>
    <t>Quy hoạch đất chợ</t>
  </si>
  <si>
    <t>Quy hoạch mở rộng Chợ</t>
  </si>
  <si>
    <t>Quy hoạch mở rộng chợ Sơn</t>
  </si>
  <si>
    <t>Quy hoạch mở rộng chợ Già</t>
  </si>
  <si>
    <t>Quy hoạch mở rộng chợ Rú</t>
  </si>
  <si>
    <t xml:space="preserve">Quy hoạch trường tiểu học </t>
  </si>
  <si>
    <t>Mở rộng trường mầm non Tượng Sơn</t>
  </si>
  <si>
    <t>Mở rộng trường trường Tiểu học</t>
  </si>
  <si>
    <t>Mở rộng trường mầm non  phân hiệu chính</t>
  </si>
  <si>
    <t>Mở rộng trường mầm non  phân hiệu hai</t>
  </si>
  <si>
    <t>Mở rộng trường THCS Đồng Tiến</t>
  </si>
  <si>
    <t>Quy hoạch trường tiểu học</t>
  </si>
  <si>
    <t xml:space="preserve"> Mở rộng trường THCS Long Sơn</t>
  </si>
  <si>
    <t>Quy hoạch mới và mở rộng đường giao thông nông thôn</t>
  </si>
  <si>
    <t>Mở rộng đường tỉnh lộ 27 (Tượng Sơn - Thạch Văn)</t>
  </si>
  <si>
    <t>Quy hoạch đường giao thông trục xã kéo dài</t>
  </si>
  <si>
    <t>Quy hoạch mở rộng đường trục xã từ Quốc lộ 15B đến cống số 1 thôn Tân Phong</t>
  </si>
  <si>
    <t>Quy hoạch mở rộng đường trục xã từ Thôn Tây Sơn giao nhau đường QL 15B  đến  ngã ba nhà ông Điện thôn Văn Sơn</t>
  </si>
  <si>
    <t>Quy hoạch đường giao thông từ Thành phố xuống đê Hữu Phủ</t>
  </si>
  <si>
    <t>Quy hoạch mở rộng  đường giao thông nội đồng phục vụ sản xuất trên toàn xã</t>
  </si>
  <si>
    <t>Quy hoạch bến xe</t>
  </si>
  <si>
    <t>Quy hoạch đường du lịch</t>
  </si>
  <si>
    <t>Quy hoạch mở rộng đường trục thôn</t>
  </si>
  <si>
    <t>Quy hoạch mở rộng nâng cấp trường giao thông trục thôn Bắc Hải</t>
  </si>
  <si>
    <t>Quy hoạch Đường du lịch ven biển</t>
  </si>
  <si>
    <t>Quy hoạch mở mới đường tại Tri Lễ</t>
  </si>
  <si>
    <t>Quy hoạch mở rộng đường Từ Kênh C12 đến trường Nguyễn Thiếp</t>
  </si>
  <si>
    <t>Quy hoạch mở rộng đường giao thông nông thôn</t>
  </si>
  <si>
    <t>Quy hoạch mở rộng nâng cấp đường giao thông thôn Thọ từ đất ông Mai đến vùng quy hoạch mới</t>
  </si>
  <si>
    <t>Quy hoạch mở rộng nâng cấp đường giao thông thôn Khang từ cổng chùa thôn Khang củ đi nhà máy nước</t>
  </si>
  <si>
    <t>Quy hoạch mở rộng nâng cấp đường giao thông thôn Thọ Cầu Đập.</t>
  </si>
  <si>
    <t xml:space="preserve">Quy hoạch đường sắt cao tốc Bắc Nam </t>
  </si>
  <si>
    <t>Mở rộng đường trục xã  (dài = 400m, HT=1.5m, Quy hoạch = 6m)</t>
  </si>
  <si>
    <t>Quy hoạch MR đường giao thông  trục liên thôn từ chợ rú đi Quốc lộ 15B</t>
  </si>
  <si>
    <t>Quy hoạch mở rộng đường liên xã Thạch Long - Đò Điệm</t>
  </si>
  <si>
    <t>Quy hoạch mở rộng đường trục xã</t>
  </si>
  <si>
    <t>Quy hoạch mở rộng đường huyện lộ Thượng Ngọc</t>
  </si>
  <si>
    <t>Quy hoạch mở rộng đường liên xã Thạch Ngọc - Ngọc Sơn</t>
  </si>
  <si>
    <t>Quy hoạch công viên, nhà truyền thống</t>
  </si>
  <si>
    <t>Quy hoạch công viên</t>
  </si>
  <si>
    <t xml:space="preserve">Quy hoạch trạm biến áp </t>
  </si>
  <si>
    <t>Quy hoạch trạm xử lý nước thải</t>
  </si>
  <si>
    <t>Quy hoạch diểm tập kết rác</t>
  </si>
  <si>
    <t xml:space="preserve">Quy hoạch nhà văn hóa </t>
  </si>
  <si>
    <t xml:space="preserve">Quy hoạch,MR nhà văn hóa </t>
  </si>
  <si>
    <t>Quy hoạch khu văn hóa thể thao thôn Chi Lưu</t>
  </si>
  <si>
    <t>Quy hoạch nhà văn hóa thôn Phú Quý</t>
  </si>
  <si>
    <t>Quy hoạch nhà văn hóa thôn Khang</t>
  </si>
  <si>
    <t xml:space="preserve">Quy hoạch nhà văn hóa thôn </t>
  </si>
  <si>
    <t>Quy hoạch mở rộng khuôn viên NVH thôn Hòa Hợp</t>
  </si>
  <si>
    <t>Quy hoạch mở rộng nhà văn hóa thôn Thương Nguyên</t>
  </si>
  <si>
    <t>Quy hoạch xây mới trạm bơm 19/5</t>
  </si>
  <si>
    <t>Quy hoạch nâng cấp mở rộng thủy lợi toàn xã</t>
  </si>
  <si>
    <t>Quy hoạch Mương Thoát Lũ</t>
  </si>
  <si>
    <t>Quy hoạch trạm bơm Thôn Thượng Nguyên</t>
  </si>
  <si>
    <t>Quy hoạch trạm Y tế xã</t>
  </si>
  <si>
    <t>Quy hoạch đất làm muối</t>
  </si>
  <si>
    <t>Quy hoạch Mở rộng Nghĩa trang Nhà Trèn</t>
  </si>
  <si>
    <t>Quy hoạch nghĩa trang Thạch Điền</t>
  </si>
  <si>
    <t>Quy hoạch mở rộng nghĩa trang Cồn Bàn thôn Nam Văn</t>
  </si>
  <si>
    <t>Quy hoạch đất nghĩa trang</t>
  </si>
  <si>
    <t>Quy hoạch sinh thái, kết hợp NTTS</t>
  </si>
  <si>
    <t>Quy hoạch đất nuôi trồng thủy sản Cống K12</t>
  </si>
  <si>
    <t>Quy hoạch đất nuôi trồng thủy sản Kết hợp Cá lúa ( thôn Sơn Hà)</t>
  </si>
  <si>
    <t>Quy hoạch đất nuôi trồng thuỷ sản Yên Vũ</t>
  </si>
  <si>
    <t>Quy hoạch trung tâm văn hóa xã</t>
  </si>
  <si>
    <t>Mở rộng giáo họ Kẻ Đông</t>
  </si>
  <si>
    <t>Mở rộng giáo họ Tiến Thủy</t>
  </si>
  <si>
    <t>Mở rộng giáo họ Thanh Thủy</t>
  </si>
  <si>
    <t>Quy hoạch chùa Kênh Cạn</t>
  </si>
  <si>
    <t xml:space="preserve">Mở rộng Giáo họ Tân Lâm </t>
  </si>
  <si>
    <t>Quy hoạch đất thương mại dịch vụ</t>
  </si>
  <si>
    <t>Quy hoạch khu du lịch sinh thái bờ sông Cày</t>
  </si>
  <si>
    <t>Quy hoạch khu dịch vụ - thương mại vùng đê Hữu nghèn</t>
  </si>
  <si>
    <t>Quy hoạch TMDV Kinh doanh vận tải và vật liệu xây dựng</t>
  </si>
  <si>
    <t>Quy hoạch đất thương mại - dịch vụ (hai bên đường tránh Quốc lộ 1A</t>
  </si>
  <si>
    <t>Quy hoạch đất thương mại, dịch vụ (Thôn Tri Khê)</t>
  </si>
  <si>
    <t>Quy hoạch, mở rộng miếu</t>
  </si>
  <si>
    <t>Quy hoạch Mở rộng miếu Đức Ngư Ông, miếu thờ Dụng binh Thiên Tướng</t>
  </si>
  <si>
    <t>Quy hoạch mở rộng đền Cồn Trang</t>
  </si>
  <si>
    <t>Quy hoạch mở rộng đền Voi Quỳ</t>
  </si>
  <si>
    <t>Quy hoạch Mở rộng đình Làng Thượng Nguyên</t>
  </si>
  <si>
    <t>Quy hoạch mở rộng chùa Chi Lưu</t>
  </si>
  <si>
    <t>Quy hoạch mới miếu Mây</t>
  </si>
  <si>
    <t>Quy hoạch đất miếu Hai Voi</t>
  </si>
  <si>
    <t xml:space="preserve">Quy hoạch, mở rộng nhà thờ Hồ Huy Chấn </t>
  </si>
  <si>
    <t>Quy hoạch Mở rộng nhà thờ họ Từ Hữu Hòe</t>
  </si>
  <si>
    <t>Quy hoạch mỏ vật liệu xây dựng</t>
  </si>
  <si>
    <t>Quy hoạch vùng Sét nguyên liệu</t>
  </si>
  <si>
    <t>Quy hoạch cụm công nghiệp Tân Lâm Hương</t>
  </si>
  <si>
    <t>Quy hoạch đất sản xuất kinh doanh  (đất trồng nấm)</t>
  </si>
  <si>
    <t>Quy hoạch đất sản xuất kinh doanh</t>
  </si>
  <si>
    <t>Quy hoạch đất làng nghề chế biến bún, máy xay xát.</t>
  </si>
  <si>
    <t xml:space="preserve">Quy hoạch nhà máy nước </t>
  </si>
  <si>
    <t xml:space="preserve">Quy hoạch đất chế biến thủy hải sản </t>
  </si>
  <si>
    <t>Quy hoạch đất tiểu thủ công nghiệp</t>
  </si>
  <si>
    <t>Quy hoạch đất rừng sản xuất</t>
  </si>
  <si>
    <t>Quy hoạch đất rừng sản xuất vùng Âu thuyền</t>
  </si>
  <si>
    <t>Quy hoạch đất ở Tái định cư</t>
  </si>
  <si>
    <t>Quy hoạch đất ở tổ 10 thôn Tây Sơn, vùng xóm 8 xã Thạch Đỉnh củ, vùng đập Cố Phướng, vùng sân Bóng gần Quốc lộ 15B</t>
  </si>
  <si>
    <t>Quy hoạch đất ở phía Nam Khu tái định cư</t>
  </si>
  <si>
    <t>Quy hoạch đất ở thôn phía Nam cầu Đập Họ</t>
  </si>
  <si>
    <t>Quy hoạch đất ở  đội Cựa xóm 2 củ thôn Văn Sơn</t>
  </si>
  <si>
    <t>Quy hoạch đất ở phía nam nhà ông Tùng thôn Thanh Long, vùng Bờ Khe Ông Hùng</t>
  </si>
  <si>
    <t>Quy hoạch đất ở vùng đối diện nhà anh Tăng xã đội thôn Tân Phong, vùng Phía Bắc thôn Tn Phong, vùng đội 8 củ</t>
  </si>
  <si>
    <t>Quy hoạch đất ở Thôn Đại Hải</t>
  </si>
  <si>
    <t>Quy hoạch đất ở vùng Nhà Chiên, Hương Hỏa, vùng Đập Táng, Đồng Dài</t>
  </si>
  <si>
    <t>Quy hoạch đất ở vùng Đồng Hà, Vùng Đất Mạ</t>
  </si>
  <si>
    <t>Quy hoạch đất ở Vùng Nhà Máy, thôn Hòa Hợp, xã Thạch Kênh</t>
  </si>
  <si>
    <t>Quy hoạch đất ở vùng Đồng Sĩnh gần HTX Trung Toàn, vùng đồng Rẫy,Đồng Chợ Già</t>
  </si>
  <si>
    <t>Quy hoạch đất ở vùng Đá Nện, Vùng Bắc Xóm</t>
  </si>
  <si>
    <t>Quy hoạch đất ở Đồng Lịch thôn Hanh</t>
  </si>
  <si>
    <t>Quy hoạch đất ở vùng cửa ông Thạch, vùng nhà Ông Thúc, nhà VH thôn Nguyên củ</t>
  </si>
  <si>
    <t>Quy hoạch đất ở trạm điện thôn Nguyên</t>
  </si>
  <si>
    <t>Quy hoạch đất ở vùng đặt Mạc thôn Ninh</t>
  </si>
  <si>
    <t>Quy hoạch đất ở thôn Khang</t>
  </si>
  <si>
    <t>Quy hoạch đất ở vùng cửa anh Hương, phía Tây cựa bà Hương Thôn Khang, Sân bóng củ</t>
  </si>
  <si>
    <t>Quy hoạch đất ở vùng cửa bà Mận, Vùng cô Huyền, vùng sau mương Ông Kiên, vùng Cựa Đập thôn Thọ</t>
  </si>
  <si>
    <t>Quy hoạch đất ở phía sau trường Nguyễn Thiếp, Sân bóng, nhà Văn Hóa củ thôn Phú Quý, vùng Đồng Bà, vùng gần nhà Ông Đoài thôn Phú Quý</t>
  </si>
  <si>
    <t>Quy hoạch đất ở vùng cầu Đập thôn Phú Quý</t>
  </si>
  <si>
    <t>Quy hoạch đất ở thôn Tri Khê Vùng đồng nước non</t>
  </si>
  <si>
    <t>Quy hoạch đất ở dám dân thôn tri khê vùng đường đi hóa chất, vùng 1 thôn Tri Khê</t>
  </si>
  <si>
    <t>Quy hoạch đất ở thôn tri khê vùng  công ty đông lạnh, vùng sân bóng Đông Lạnh</t>
  </si>
  <si>
    <t>Quy hoạch đất ở thôn Sơn Hà  vùng Cồn phương, Vùng hồi Bà Xuân, vùng NVH thôn Sơn Hà củ</t>
  </si>
  <si>
    <t>Quy hoạch đất ở thôn Tân Hợp vùng Trạm Đèn, vùng Đồng Lại, vùng trước nhà Ông Nuôi, vùng hồi nhà Bà Thảo</t>
  </si>
  <si>
    <t>Quy hoạch đất ở thôn Vạn Đò  vùng  giáp đường đi thôn Sơn Tiến</t>
  </si>
  <si>
    <t>Quy hoạch đất ở thôn Sơn Tiến  vùng  giáp đường trục thôn vạn đò đi thôn Sơn Tiến, vùng nhà Bà Quý, vùng Cơn Lau, vùng hồi nhà Thờ</t>
  </si>
  <si>
    <t>Quy hoạch đất ở thôn  Đình Hàn vùng trước nhà Ông Thanh, Vùng Bãi Liềm</t>
  </si>
  <si>
    <t xml:space="preserve">Quy hoạch đất ở nông thôn </t>
  </si>
  <si>
    <t>Quy hoạch đất ở vùng gần nhà ông Chương thôn Liên Hải, vùng Đồng Mau Cát, vùng Đồng Trại Thiều, vùng phía Bắc nhà Trang Ngạn</t>
  </si>
  <si>
    <t>Quy hoạch đất ở thôn Nam Hải phía nam sân Bóng, vùng Nhà Trọng Hân ra biển, vùng Phía Bắc nhà Biên Hướng</t>
  </si>
  <si>
    <t>Quy hoạch đất ở đô thị</t>
  </si>
  <si>
    <t>Quy hoạch khu đô thị bắc Thị Trấn</t>
  </si>
  <si>
    <t>Quy hoạch đất ở đối diện kho bạc huyện</t>
  </si>
  <si>
    <t>Quy hoạch đất ở dọc sông cày</t>
  </si>
  <si>
    <t>Quy hoạch khu chăn nuôi tập trung (trại lợn nái)</t>
  </si>
  <si>
    <t xml:space="preserve">Quy hoạch đất nông nghiệp khác </t>
  </si>
  <si>
    <t>Quy hoạch dự án nuôi chim Yến</t>
  </si>
  <si>
    <t>Quy hoạch đất nông nghiệp khác tại thôn Trí Nang</t>
  </si>
  <si>
    <t>Quy hoạch đất nông nghiệp khác Tại Trí Nang</t>
  </si>
  <si>
    <t>I</t>
  </si>
  <si>
    <t>Đất trồng cây hàng năm khác</t>
  </si>
  <si>
    <t>II</t>
  </si>
  <si>
    <t>III</t>
  </si>
  <si>
    <t>Đất rừng sản xuất</t>
  </si>
  <si>
    <t>IV</t>
  </si>
  <si>
    <t>Đất làm muối</t>
  </si>
  <si>
    <t>VI</t>
  </si>
  <si>
    <t>VII</t>
  </si>
  <si>
    <t>Đất quốc phòng</t>
  </si>
  <si>
    <t>IX</t>
  </si>
  <si>
    <t>Đất khu công nghiệp</t>
  </si>
  <si>
    <t>X</t>
  </si>
  <si>
    <t>Đất cụm công nghiệp</t>
  </si>
  <si>
    <t>XI</t>
  </si>
  <si>
    <t>XII</t>
  </si>
  <si>
    <t>Đất cơ sở sản xuất phi nông nghiệp</t>
  </si>
  <si>
    <t>XIII</t>
  </si>
  <si>
    <t>Đất sản xuất vật liệu xây dựng</t>
  </si>
  <si>
    <t>XIV</t>
  </si>
  <si>
    <t>Đất phát triển hạ tầng cấp quốc gia, cấp tỉnh, cấp huyện, cấp xã</t>
  </si>
  <si>
    <t>DHT</t>
  </si>
  <si>
    <t>XIV.1</t>
  </si>
  <si>
    <t>Đất giao thông</t>
  </si>
  <si>
    <t>XIV.2</t>
  </si>
  <si>
    <t>Đất thủy lợi</t>
  </si>
  <si>
    <t>XIV.3</t>
  </si>
  <si>
    <t>Đất xây dựng cơ sở văn hóa</t>
  </si>
  <si>
    <t>XIV.4</t>
  </si>
  <si>
    <t>Đất xây dựng cơ sở y tế</t>
  </si>
  <si>
    <t>XIV.5</t>
  </si>
  <si>
    <t>Đất xây dựng cơ sở giáo dục và đào tạo</t>
  </si>
  <si>
    <t>XIV.6</t>
  </si>
  <si>
    <t>Đất xây dựng cơ sở thể dục thể thao</t>
  </si>
  <si>
    <t>XIV.7</t>
  </si>
  <si>
    <t>Đất công trình năng lượng</t>
  </si>
  <si>
    <t>XIV.8</t>
  </si>
  <si>
    <t>Đất công trình bưu chính, viễn thông</t>
  </si>
  <si>
    <t>XIV.9</t>
  </si>
  <si>
    <t>Đất bãi thải, xử lý chất thải</t>
  </si>
  <si>
    <t>XIV.10</t>
  </si>
  <si>
    <t>Đất cơ sở tôn giáo</t>
  </si>
  <si>
    <t>XIV.11</t>
  </si>
  <si>
    <t>Đất làm nghĩa trang, nhà tang lễ, nhà hỏa táng</t>
  </si>
  <si>
    <t>Đất chợ</t>
  </si>
  <si>
    <t>XV</t>
  </si>
  <si>
    <t>Đất sinh hoạt cộng đồng</t>
  </si>
  <si>
    <t>XVI</t>
  </si>
  <si>
    <t>Đất khu vui chơi, giải trí công cộng</t>
  </si>
  <si>
    <t>XVII</t>
  </si>
  <si>
    <t>Đất ở tại nông thôn</t>
  </si>
  <si>
    <t>XVIII</t>
  </si>
  <si>
    <t>Đất ở tại đô thị</t>
  </si>
  <si>
    <t>XIX</t>
  </si>
  <si>
    <t>Đất xây dựng trụ sở cơ quan</t>
  </si>
  <si>
    <t>XX</t>
  </si>
  <si>
    <t>Đất tín ngưỡng</t>
  </si>
  <si>
    <t>Thôn Ngọc Hà</t>
  </si>
  <si>
    <t>LVS29,52</t>
  </si>
  <si>
    <t xml:space="preserve">Xã Tượng Sơn, Xã Thạch Thắng, xã Thạch Trị, xã Thạch Văn </t>
  </si>
  <si>
    <t xml:space="preserve">Nâng cấp, mở rộng đường giao thông từ Quốc lộ 15B đến khu du lịch biển Văn Trị, </t>
  </si>
  <si>
    <t>TV4, TT31,
 TH21</t>
  </si>
  <si>
    <t>NĐ35,TX</t>
  </si>
  <si>
    <t>Xã Nam Điền, xã Thạch Xuân</t>
  </si>
  <si>
    <t>TT18, TV5</t>
  </si>
  <si>
    <t>Công trình, dự án Đường trục ngang và đường vành đai phía Đông thị trấn Thạch Hà.</t>
  </si>
  <si>
    <t>Xã Ngọc Sơn, xã Lưu Vĩnh Sơn</t>
  </si>
  <si>
    <t>TS58, TL12</t>
  </si>
  <si>
    <t>Xã Tượng Sơn, Xã Thạch Lạc</t>
  </si>
  <si>
    <t>Nâng cấp mở rộng đường liên xã Tượng Sơn - Thạch Lạc</t>
  </si>
  <si>
    <t>Đường vào khu di tích lịch sử văn hóa chiêu trưng đại vương Lê Khôi</t>
  </si>
  <si>
    <t>Các tuyến đường gom và hệ thống tiêu thoát lũ khu vực đường tránh QL1A đoạn qua thành phố Hà Tĩnh</t>
  </si>
  <si>
    <t>Xã Thạch Long, xã Thạch Đài, thị trấn Thạch Hà, xã Tân Lâm Hương</t>
  </si>
  <si>
    <t>BS</t>
  </si>
  <si>
    <t xml:space="preserve">Dự án đường tỉnh ĐT.553 đoạn qua huyện Thạch Hà </t>
  </si>
  <si>
    <t>Dự án Củng cố, nâng cấp tuyến đê Hữu Phủ đoạn từ cầu Cửa Sót đến núi Nam Giới, huyện Thạch Hà</t>
  </si>
  <si>
    <t>Xã  Đỉnh Bàn</t>
  </si>
  <si>
    <t>Công trình, dự án: Nâng cấp sửa chữa khẩn cấp các hồ chứa đã xuống cấp trên địa bàn huyện Thạch Hà</t>
  </si>
  <si>
    <t>Huyện Thạch Hà</t>
  </si>
  <si>
    <t>Chuyển mục đích đất vườn sang đất ở trên toàn huyện</t>
  </si>
  <si>
    <t>Xây dựng trạm điện năng lượng</t>
  </si>
  <si>
    <t>Quy hoạch đường điện 110KV</t>
  </si>
  <si>
    <t>ĐB162,163</t>
  </si>
  <si>
    <t>Các xã: Lưu Vĩnh Sơn, Đỉnh Bàn, Tân Lâm Hương, Thạch Khê, Nam Điền, Lưu Vĩnh Sơn, Thị trấn Thạch Hà, Thạch Hội, Việt Tiến, Thạch Trị, Thạch Lạc</t>
  </si>
  <si>
    <t>Các xã: Thạch Xuân, Việt Tiến, Thạch Trị, Thạch Sơn, Đỉnh Bàn, Thạch Khê, Thạch Liên, Nam Điền, Lưu Vĩnh Sơn,  Thạch Ngọc,  Thạch Lạc, Thạch Hội, Tân Lâm Hương và thị trấn Thạch Hà</t>
  </si>
  <si>
    <t>Xây dựng đường dây, trạm biến áp chống quá tải và giảm tổn thất điện năng các xã phía Tây, phía Đông huyện Thạch Hà.</t>
  </si>
  <si>
    <t>21 xã và thị trấn Thạch Hà</t>
  </si>
  <si>
    <t>Xã Thạch Sơn, xã Tân Lâm Hương, xã Thạch Hội, Xã Tượng Sơn, Xã Thạch Lạc</t>
  </si>
  <si>
    <t>Cụm công nghiệp Thạch Khê</t>
  </si>
  <si>
    <t>Xã Thạch Khê</t>
  </si>
  <si>
    <t>Xã Thạch Kênh, xã Thạch Sơn</t>
  </si>
  <si>
    <t>TK44,TS47</t>
  </si>
  <si>
    <t>Xã Thạch Khê, xã Đỉnh Bàn</t>
  </si>
  <si>
    <t>Tiểu dự án Cải thiện cơ sở hạ tầng đô thị Thạch Hà, huyện Thạch Hà, tỉnh Hà Tĩnh</t>
  </si>
  <si>
    <t>Dự án nâng cấp mở rộng đường huyện lộ ĐH 102</t>
  </si>
  <si>
    <t>Xã Thạch Đài, xã Thạch Xuân</t>
  </si>
  <si>
    <t>Dự án đường vào khu sản xuất tập trung xã Thạch Xuân</t>
  </si>
  <si>
    <t>Dự án: Nâng cấp, mở rộng đường giao thông liên xã phục vụ dân sinh, sản xuất, chăn nuôi xã Lưu Vĩnh Sơn và tuyến liên xã LX.05, huyện Thạch Hà ( Giai đoạn 2)</t>
  </si>
  <si>
    <t>Mở rộng đường giao thông thôn Việt Yên, Lâm Hưng, Tân Đông</t>
  </si>
  <si>
    <t>Công trình hạ tầng kỹ thuật thôn Thọ, thôn Nguyên</t>
  </si>
  <si>
    <t>Mở rộng đường vào trường Nguyễn Trung Thiên</t>
  </si>
  <si>
    <t>Đường giao thông từ Tỉnh lộ 3 nhà ông Trà đi thôn Đan Khê</t>
  </si>
  <si>
    <t>Đường cao tốc Bắc Nam đoạn Bãi Vọt - Vũng Áng</t>
  </si>
  <si>
    <t>Xã Lưu Vĩnh Sơn, xã Nam Điền, xã Thạch Đài, xã Thạch Xuân, xã Tân Lâm Hương, xã Thạch Ngọc, xã Việt Tiến</t>
  </si>
  <si>
    <t>LVS21,ND30,TD16,TX24,TLH47,TN6,VT49</t>
  </si>
  <si>
    <t>Quy hoạch đường giao thông thôn Đại Hải, Nam Hải</t>
  </si>
  <si>
    <t>Thôn Đại Hải, thôn Nam Hải</t>
  </si>
  <si>
    <t>Quy hoạch mở rộng nâng cấp đường giao thông thôn Thọ từ đường trục xã đi cây đa thôn Phú Quý.</t>
  </si>
  <si>
    <t>Quy hoạch mở rộng nâng cấp đường giao thông trục thôn Nam Hải</t>
  </si>
  <si>
    <t>Xã Tân Lâm Hương, xã Thạch Đài</t>
  </si>
  <si>
    <t>VIII</t>
  </si>
  <si>
    <t>Đất an ninh</t>
  </si>
  <si>
    <t xml:space="preserve">Toàn xã </t>
  </si>
  <si>
    <t xml:space="preserve">BS </t>
  </si>
  <si>
    <t>sửa diện tích, vị trí</t>
  </si>
  <si>
    <t>Quy hoạch trường mầm non</t>
  </si>
  <si>
    <t>sửa diện tích</t>
  </si>
  <si>
    <t>đã sửa lại vị trí</t>
  </si>
  <si>
    <t>Quy hoạch mở rộng tỉnh lộ 550</t>
  </si>
  <si>
    <t>Đường giao thông vùng bàu từ hồi ông Hồ đến bàu lại thôn Tân Phúc</t>
  </si>
  <si>
    <t>Đường giao thông sản xuất bờ bao Sác Hiểm</t>
  </si>
  <si>
    <t>Đường giao thông từ Tỉnh lộ 550 đi thôn Đan Khê</t>
  </si>
  <si>
    <t>mới thêm</t>
  </si>
  <si>
    <t>Mở rộng công viên của cung thiếu nhi</t>
  </si>
  <si>
    <t>Mở rộng nhà văn hóa thôn</t>
  </si>
  <si>
    <t>Mở rộng nhà văn hoá thôn Đan Khê</t>
  </si>
  <si>
    <t>Nhà văn hoá thôn Vĩnh Tiến</t>
  </si>
  <si>
    <t>Quy hoạch trạm cấp nước phía Bắc cổng chào TĐC</t>
  </si>
  <si>
    <t>Mở rộng khe Bắc từ Đan Khê đến Phúc Lộc</t>
  </si>
  <si>
    <t>Quy hoạch đất văn hóa trong khu tái định cư</t>
  </si>
  <si>
    <t>Quy hoạch trạm y tế xã</t>
  </si>
  <si>
    <t>Quy hoạch đất nghĩa trang Cồn Hát Chung</t>
  </si>
  <si>
    <t>Quy hoạch nghĩa trang Vĩnh Tiến</t>
  </si>
  <si>
    <t>Quy hoạch đất ở khu tái định cư</t>
  </si>
  <si>
    <t>Quy hoạch đất ở đấu giá</t>
  </si>
  <si>
    <t>Đất ở nông thôn</t>
  </si>
  <si>
    <t>Đất sản xuất kinh doanh</t>
  </si>
  <si>
    <t>Mở rộng phía Tây đền Sắc</t>
  </si>
  <si>
    <t>Mở rộng phía Bắc Chùa Tran (Chùa Phúc Linh)</t>
  </si>
  <si>
    <t>Quy hoạch khu vui chơi, sân thể thao thôn Đan Khê</t>
  </si>
  <si>
    <t>MỚI</t>
  </si>
  <si>
    <t>Quy hoạch đường bao vùng Hói sấu</t>
  </si>
  <si>
    <t>Hói thôn Tân phúc  đến thôn Đồng Giang</t>
  </si>
  <si>
    <t>Quy hoạch đất ở đấu giá bám đường 15B</t>
  </si>
  <si>
    <t>Quy hoạch đương bao hói sâu từ hồi Bệnh viện đến hồi anh Trung</t>
  </si>
  <si>
    <t>Quy hoạch mở rộng đường Bảo Thọ</t>
  </si>
  <si>
    <t>Đường từ tái định cư xuống sông Hữu Ngạn</t>
  </si>
  <si>
    <t>Thôn Vĩnh Sơn, Thôn Tây Sơn, thôn Tân Phong, thôn Thanh Long</t>
  </si>
  <si>
    <t>VỊ TRÍ BĐQuy hoạch XÃ</t>
  </si>
  <si>
    <t>Quy hoạch đất ở tại các nhà văn hóa thôn cũ</t>
  </si>
  <si>
    <t>Vùng Cơn Cừa, Thôn Tây Sơn, Trường Xuân</t>
  </si>
  <si>
    <t>Quy hoạch đất nuôi trồng thủy sản (vùng bãi Lũy thôn Sông Tiến)</t>
  </si>
  <si>
    <t>Quy hoạch đất nuôi trồng thủy sản (vùng Hà Lầm thôn Tri Khê)</t>
  </si>
  <si>
    <t>Quy hoạch đất nuôi trồng thủy sản (vùng Đò Điệm thôn Vạn Đò)</t>
  </si>
  <si>
    <t>Xã Thạch Liên, xã Việt Tiến, xã Tân Lâm Hương, xã Nam Điền, xã Thạch Đài, thị trấn Thạch Hà, Lưu Vĩnh Sơn</t>
  </si>
  <si>
    <t>TL15,VT48,
TLH48,ND47,
TTTH47, LVS22</t>
  </si>
  <si>
    <t>DANH MỤC CÁC CÔNG TRÌNH DỰ ÁN QUY HOẠCH HUYỆN THẠCH HÀ THỜI KỲ 2021-2030</t>
  </si>
  <si>
    <t>TỔNG</t>
  </si>
  <si>
    <t>T</t>
  </si>
  <si>
    <t>XIV.12</t>
  </si>
  <si>
    <t>Ghi chú</t>
  </si>
  <si>
    <t>Thôn Tân Phong, Chân núi Nam Giới</t>
  </si>
  <si>
    <t>Bãi bồi thôn Tân Phong</t>
  </si>
  <si>
    <t>Cánh đồng Muối, thôn Vĩnh Bình, Vĩnh Sơn, Thanh Long, Tân Phong</t>
  </si>
  <si>
    <t>Thôn  Trường Xuân, Vĩnh Hòa, Tân Phong, Thanh Long</t>
  </si>
  <si>
    <t>Thôn Tây Sơn, Trường Xuân, Vĩnh Hòa, Văn Sơn</t>
  </si>
  <si>
    <t>Thôn Tây Sơn, 
Vĩnh Sơn</t>
  </si>
  <si>
    <t>Thôn Trường Xuân, Tây Sơn, Thanh Long, Tân Phong, Vĩnh Sơn</t>
  </si>
  <si>
    <t>Quy hoạch đất ở đồi Lèn</t>
  </si>
  <si>
    <t xml:space="preserve"> Thôn Văn Sơn</t>
  </si>
  <si>
    <t>Quy hoạch đất ở Tổ 9 thôn Trường Xuân</t>
  </si>
  <si>
    <t>Thôn ThanhLong</t>
  </si>
  <si>
    <t>Xã Đỉnh bàn</t>
  </si>
  <si>
    <t>Quy hoạch đất sản xuất kính doanh tiểu thủ công nghiệp, thương mai dịch vụ</t>
  </si>
  <si>
    <t>Quy hoạch mở rộng trường tiểu học</t>
  </si>
  <si>
    <t>Đường giao thông UBND xã Thạch Hải - Lê Khôi (Giai đoạn 2)</t>
  </si>
  <si>
    <t>Căn cứ chiến đấu thành phố Hà Tĩnh</t>
  </si>
  <si>
    <t>Căn cứ hậu phương huyện Thạch Hà</t>
  </si>
  <si>
    <t>Căn cứ chiến đấu huyện Thạch Hà</t>
  </si>
  <si>
    <t>0.1MNC</t>
  </si>
  <si>
    <t>Thôn Phúc, Thôn Trằm</t>
  </si>
  <si>
    <t>Thôn Trửa</t>
  </si>
  <si>
    <t>Mở rộng trường mầm non Thạch Tiến</t>
  </si>
  <si>
    <t>Thị trấn Thạch Hà và các xã: Việt Tiến, Thạch Long, Thạch Sơn, Thạch Kênh, Thạch Liên</t>
  </si>
  <si>
    <t>DSH,
DTT</t>
  </si>
  <si>
    <t>Thôn Ba Giang (Đồi Trều)</t>
  </si>
  <si>
    <t>Thôn Đông Hà 1, Đông Hà 2, thôn Đan Trung</t>
  </si>
  <si>
    <t>Xứ đồng Mụ Léch, Thôn Nam Giang</t>
  </si>
  <si>
    <t>Mở rộng nhà văn hóa  thôn Sông Tiến</t>
  </si>
  <si>
    <t>Thôn Đồng Vĩnh</t>
  </si>
  <si>
    <t>Thôn Song Hoành</t>
  </si>
  <si>
    <t>Mở rộng trường THPT Nguyễn Trung Thiên</t>
  </si>
  <si>
    <t>Mở rộng trường THCS Lê Hồng Phong</t>
  </si>
  <si>
    <t>Quy hoạch mới trường THCS Lê Hồng Phong (điểm mới của mỏ sắt Thạch Khê)</t>
  </si>
  <si>
    <t>Công trình, dự án: Đường trục ngang ven biển huyện Thạch Hà (Đường 19-5)</t>
  </si>
  <si>
    <t>Xã Thạch Hải, xã Thạch Trị, xã Thạch Văn, Xã Thạch Hội</t>
  </si>
  <si>
    <t>Đường giao thông từ khu vực hạ tầng TĐC dự án AFD tại thôn gia ngãi 1đến sông Vách Nam, xã Thạch Long</t>
  </si>
  <si>
    <t>Mở rộng trường mầm non 1, mầm non 2 Tân Lâm Hương</t>
  </si>
  <si>
    <t>Mở rộng trường THCS Ngọc Sơn</t>
  </si>
  <si>
    <t>hiỆN TRẠNG RSX</t>
  </si>
  <si>
    <t>Nâng cấp mở rộng tuyến đường từ UBND xã Thạch Trị đến Miếu Ao</t>
  </si>
  <si>
    <t>Quy hoạch đất trụ sở cơ quan</t>
  </si>
  <si>
    <t>Mở rộng đường Tỉnh lộ 7</t>
  </si>
  <si>
    <t>Dự án sửa chữa và nâng cao an toàn đập(WB8) (Dự án sửa chữa và nâng cao an toàn đập Hồ Đá Đen)</t>
  </si>
  <si>
    <t>TK23,
 ĐB153</t>
  </si>
  <si>
    <t>BS20</t>
  </si>
  <si>
    <t>Bổ Sung</t>
  </si>
  <si>
    <t>Quy hoạch đất ở vùng Nương Xuông, vùng Đồng Lối từ bưu điện đến sân bóng, vùng đồng Ông Bộ, vùng Thâu Đâu</t>
  </si>
  <si>
    <t>Thôn Phú Quý, thôn Khang</t>
  </si>
  <si>
    <t>BSSH</t>
  </si>
  <si>
    <t>Đồng Đàng, Nam đồng Tơng, thôn Lợi</t>
  </si>
  <si>
    <t>Thôn Vạn Đò, 
Sơn Tiến</t>
  </si>
  <si>
    <t>Quy hoạch đất  sản xuất kinh doanh (Thôn Tri Khê)</t>
  </si>
  <si>
    <t>Quy hoạch đê Bãi Lũy</t>
  </si>
  <si>
    <t>Mở rộng nghĩa trang cồn mồ</t>
  </si>
  <si>
    <t>Mở rộng chùa miếu cua</t>
  </si>
  <si>
    <t>Quy hoạch đất nông nghiệp khác vùng ngoài đê</t>
  </si>
  <si>
    <t>Đường cây xăng Xuyên Hà đi Quốc lộ 1A</t>
  </si>
  <si>
    <t>Thôn Việt Yên, thôn Hòa Bình</t>
  </si>
  <si>
    <t>Đường Lộc Thọ đi Trung Tiến</t>
  </si>
  <si>
    <t>Thôn Lộc Thọ, Thôn Trung Tiến</t>
  </si>
  <si>
    <t xml:space="preserve">Mở rộng giao thông trên địa bàn xã </t>
  </si>
  <si>
    <t>Khu du lịch nghỉ dưỡng APEC Mandala Grand Thạch Hà tại các xã Thạch Trị-Thạch Văn-Thạch Hội, huyên Thạch Hà của CTCP đầu tư IDJ Việt Nam</t>
  </si>
  <si>
    <t>Thạch Văn, Thạch Trị, Thạch Hội</t>
  </si>
  <si>
    <t>hải đưa vào</t>
  </si>
  <si>
    <t>Dự án sân Golf  Apec Mandala Thạch Hà</t>
  </si>
  <si>
    <t>Dự án khu du lịch biển Văn - Trị</t>
  </si>
  <si>
    <t>Xã Lưu Vĩnh Sơn, Thạch Đài, thị trấn Thạch Hà</t>
  </si>
  <si>
    <t>ban A mới thêm</t>
  </si>
  <si>
    <t>Hệ thống tiêu thoát lũ vùng Tây Nam Thạch Hà (Giai đoạn 2)</t>
  </si>
  <si>
    <t>Xã Thạch Xuân, Thạch Đài, thị trấn Thạch Hà</t>
  </si>
  <si>
    <t>Nạo vét, gia cố hệ thống sông Đò Bang đoạn từ xã Thạch Hội đến xã Thạch Lạc, huyện Thạch Hà</t>
  </si>
  <si>
    <t>Xã Thạch Hội, Thạch Văn, Thạch Trị, Thạch Thắng, Tượng Sơn và Thạch Lạc</t>
  </si>
  <si>
    <t>Đường Ngô Quyền kéo dài nối đến đường Vũ Quang (đường tỉnh ĐT 550), tiếp giáp phạm vi nút giao giữa đường bộ cao tốc Bắc -Nam và đường tỉnh ĐT 550</t>
  </si>
  <si>
    <t>Thị trần Thạch Hà, xã Lưu Vĩnh Sơn</t>
  </si>
  <si>
    <t>1 TP</t>
  </si>
  <si>
    <t>thành phố</t>
  </si>
  <si>
    <t xml:space="preserve">Xây dựng kênh dẫn nước từ hồ Thạch Tân đến hồ Nhật Tân (Thạch Linh) kết hợp đường giao thông </t>
  </si>
  <si>
    <t>Xã Thạch Đài, xã Tân Lâm Hương</t>
  </si>
  <si>
    <t>2. TP</t>
  </si>
  <si>
    <t>Xây dựng tuyên kênh nối lưu vực cầu nũi đến hồ điều hoà Hà Huy Tập</t>
  </si>
  <si>
    <t>3. TP</t>
  </si>
  <si>
    <t>Xây dựng Bara ngăn sông cày tại hạ lưu sông Cày nhằm điều tiết mực nước sông cày từ thượng lưu đến hạ lưu tại đường nối TP Hà Tĩnh và huyện Thạch Hà</t>
  </si>
  <si>
    <t>4. TP</t>
  </si>
  <si>
    <t>Thôn Vĩnh Trung, Vĩnh An</t>
  </si>
  <si>
    <t>Nạo vét dòng chảy khe từ thôn Tân Đông đến thôn Hòa Bình</t>
  </si>
  <si>
    <t>Thôn Tân Đông, thôn Hòa Bình</t>
  </si>
  <si>
    <t>Thôn Vĩnh Tiến</t>
  </si>
  <si>
    <t>Thôn Thanh Lan, Tân Phúc</t>
  </si>
  <si>
    <t>Đường khe Biền từ Vĩnh Tiến đến thôn Tân Hương</t>
  </si>
  <si>
    <t>Thôn Vĩnh Tiến, Tân Hương</t>
  </si>
  <si>
    <t>Thôn Tân Hương</t>
  </si>
  <si>
    <t>Thôn Đan Khê, Đồng Giang</t>
  </si>
  <si>
    <t>Đường sản xuất kết hợp với mương tiêu thuỷ lợi từ thôn Tân Phúc đến khe Biền thôn Vĩnh Tiến</t>
  </si>
  <si>
    <t>Thôn Tân Phúc, Vĩnh Tiến</t>
  </si>
  <si>
    <t>Kênh thuỷ lợi N9 từ thôn Tân Hưng đến thôn Đan Khê</t>
  </si>
  <si>
    <t>Thôn Tân Hưng, Đan Khê</t>
  </si>
  <si>
    <t>Mương tiêu thuỷ lợi từ cống ông Phước đến cống hồ tôm</t>
  </si>
  <si>
    <t>Thôn Thanh Lan</t>
  </si>
  <si>
    <t>Quy hoạch đất Nông nghiệp khác phía Đông đê Hữu Phủ</t>
  </si>
  <si>
    <t>Thôn Đồng Giang</t>
  </si>
  <si>
    <t>Quy hoạch đất ở dọc đường ĐT550 (Đường tỉnh)</t>
  </si>
  <si>
    <t>Đối diện cây xăng, thôn Đồng Giang</t>
  </si>
  <si>
    <t>Dãy 2 ĐT550 (Đường tỉnh); Phía Đông Cây xăng, thôn Đồng Giang</t>
  </si>
  <si>
    <t>Dọc quốc Lộ 15B, Bắc đường ĐT550 (Đường tỉnh) và vùng phía Nam cổng chợ Mới</t>
  </si>
  <si>
    <t>Quy hoạch mới trụ sở UBND xã</t>
  </si>
  <si>
    <t>Quy hoạch nghĩa trang Động Vụng Cùng</t>
  </si>
  <si>
    <t>thạch khê 3.15</t>
  </si>
  <si>
    <t>Thôn Đan Khê, Phúc Lộc</t>
  </si>
  <si>
    <t>Quy hoạch sân bóng đá, mở rộng sân bóng đa các thôn</t>
  </si>
  <si>
    <t>Quy hoạch sân bóng đá Thôn Ninh</t>
  </si>
  <si>
    <t>Quy hoạch sân thể thao xã</t>
  </si>
  <si>
    <t>Quy hoạch sân bóng đá thôn Đình Hàn</t>
  </si>
  <si>
    <t>Quy hoạch sân bóng đá các thôn</t>
  </si>
  <si>
    <t>Quy hoạch các sân bóng đá thôn</t>
  </si>
  <si>
    <t>Quy hoạch sân bóng đá thôn Phúc Thanh</t>
  </si>
  <si>
    <t>Công trình nhà văn hóa, sân bóng đá thôn Đông Hà 2</t>
  </si>
  <si>
    <t>Quy hoạch sân bóng đá của khu TĐC</t>
  </si>
  <si>
    <t>Thôn Nam Thắng, Trung Phú, Yên Lạc</t>
  </si>
  <si>
    <t>Thôn Trung Phú</t>
  </si>
  <si>
    <t>Quy hoạch, mở rộng  nhà thờ giáo họ Hòa Yên, Hòa Lạc, Hòa Bình</t>
  </si>
  <si>
    <t>Thôn Yên Lạc, Hòa Bình</t>
  </si>
  <si>
    <t xml:space="preserve">Thôn Trung Phú </t>
  </si>
  <si>
    <t xml:space="preserve">Mở rộng nhà văn hóa </t>
  </si>
  <si>
    <t>Thôn Cao Thắng, Nam Thắng</t>
  </si>
  <si>
    <t>4 và 16</t>
  </si>
  <si>
    <t>Quy hoạch đất ở nông thôn phía Bắc trường Tiểu học</t>
  </si>
  <si>
    <t>Quy hoạch đất ở nông thôn đường sang bên trại</t>
  </si>
  <si>
    <t>Mở rộng đường giao thông từ ngã ba nhà ông Phụng (Thôn Nam Thắng) đến giáp xã Cẩm Bình</t>
  </si>
  <si>
    <t>Mở rộng, nâng cấp đường giao thông từ nhà văn hóa thôn Trung Phú đi thôn Hòa Bình (Đấu nối với huyện lộ 3)</t>
  </si>
  <si>
    <t>XÃ KHÔNG 
ĐƯA VÀO</t>
  </si>
  <si>
    <t>Vùng Vũng Sạn, thôn Đông Văn</t>
  </si>
  <si>
    <t xml:space="preserve">vùng đông rào, QL 15 Đường đi Thôn Vĩnh Yên </t>
  </si>
  <si>
    <t>Vùng Đường 19/5 thôn Đông Văn</t>
  </si>
  <si>
    <t>Thôn Đông Văn</t>
  </si>
  <si>
    <t>TS57,TV43,
 TT7</t>
  </si>
  <si>
    <t>Thôn Trung Tâm</t>
  </si>
  <si>
    <t>Đập Đá Đen, thôn Nam Sơn</t>
  </si>
  <si>
    <t>Vực Nâu</t>
  </si>
  <si>
    <t>Thôn Nam Sơn</t>
  </si>
  <si>
    <t>Thôn Thôn Ngọc Hồi</t>
  </si>
  <si>
    <t>Đá Đen, thôn Nam Sơn</t>
  </si>
  <si>
    <t xml:space="preserve">Thôn Ngọc Hà,Thôn khe giao 2 </t>
  </si>
  <si>
    <t xml:space="preserve"> Cạnh nhà VH thôn, Thôn Nam Sơn</t>
  </si>
  <si>
    <t>Ngõ Ông Hải, đồng màu thôn khe giao I</t>
  </si>
  <si>
    <t>Thôn Trường Ngọc</t>
  </si>
  <si>
    <t>Đập Cầu Trắng, thôn Trung Tâm</t>
  </si>
  <si>
    <t>Dốc Anh Quỳnh</t>
  </si>
  <si>
    <t>Đồng Bà Hợi</t>
  </si>
  <si>
    <t>Đồng 2B</t>
  </si>
  <si>
    <t>thôn Khe Giao II</t>
  </si>
  <si>
    <t xml:space="preserve">Chuyển mục đích đất vườn sang đất ở </t>
  </si>
  <si>
    <t>Quy hoạch đường liên tổ kéo dài từ tổ 6 đi tổ 1, và đường giao thông tổ 7</t>
  </si>
  <si>
    <t>Tổ dân phố 1</t>
  </si>
  <si>
    <t>Thôn Sơn Vĩnh, Hòa Hợp</t>
  </si>
  <si>
    <t>Tổ dân phố 6</t>
  </si>
  <si>
    <t>Thôn Hương Lộc + Thanh Mỹ</t>
  </si>
  <si>
    <t>Tổ dân phố 8, 11</t>
  </si>
  <si>
    <t>Tổ dân phố 2</t>
  </si>
  <si>
    <t>Tổ Dân Phố 2,3</t>
  </si>
  <si>
    <t>Ngã 3 giao đường Đồng Văn Năng và QL1A, tổ dân phố 9</t>
  </si>
  <si>
    <t>Xã Lưu Vĩnh Sơn, Thạch Đài</t>
  </si>
  <si>
    <t>Xã Thạch Xuân, Thạch Đài</t>
  </si>
  <si>
    <t>Đồng Cơn Tran, Thôn Hòa Hợp+
Đồng Đội Trọt, Thôn Thanh Giang+
Vùng 13 - Thôn Hòa Hợp</t>
  </si>
  <si>
    <t>Nương Cộ,
Nhà Nam, thôn Phúc Lạc+Đồng Rậm Trấu, Thôn Thanh Châu+ Đồng Nhà Lèo, Thôn Thanh Minh</t>
  </si>
  <si>
    <t>Tổ dân phố 9</t>
  </si>
  <si>
    <t>Tổ dân phố 4,13</t>
  </si>
  <si>
    <t>Tổ dân phố 12,13,14,15</t>
  </si>
  <si>
    <t>Quy hoạch đất ở phía Bắc trung tâm YTổ dân phố</t>
  </si>
  <si>
    <t>Đồng Ngu Tổ dân phố9, Sài Trùa Tổ dân phố 12,13,14,15</t>
  </si>
  <si>
    <t>Tổ dân phố 7</t>
  </si>
  <si>
    <t>Quy hoạch đất ở Tổ dân phố11</t>
  </si>
  <si>
    <t>Tổ dân phố 11</t>
  </si>
  <si>
    <t>Quy hoạch đất ở Tổ dân phố10</t>
  </si>
  <si>
    <t>Khu đô thị mới Tổ dân phố9, Tổ dân phố10 - HDB</t>
  </si>
  <si>
    <t xml:space="preserve">QH đất ở ngõ ô Phúc 
+QH đất ở ngõ ô Lĩnh +
QH đất ở nhà văn hóa TDP 8+QH đất ở ngõ ông tiến, </t>
  </si>
  <si>
    <t>Tổ dân phố1,6, 7</t>
  </si>
  <si>
    <t>Tổ dân phố 10, 
tổ dân phố 6</t>
  </si>
  <si>
    <t>Tổ dân phố 7,
 Tổ dân phố 13</t>
  </si>
  <si>
    <t>Bến Giang, thôn Hà Thanh</t>
  </si>
  <si>
    <t>Thôn Hà Thanh</t>
  </si>
  <si>
    <t>Nương Rường thôn Bắc Bình,Rú Ngói, thôn Bắc Bình,Lối Đenh, thôn Bắc Bình,Đồng Thừa, thôn Bắc Bình</t>
  </si>
  <si>
    <t>Giếng Mới,Ao Trùm,Mộ Trâu,Giếng Rộng,Đồng Mưng, thôn Phú Sơn</t>
  </si>
  <si>
    <t>Đồng Son, Vành Láo, thôn Hà Thanh,Gường Trung - Nương Thi Thành, thôn Hà Thanh, Hói Thú - Bến Đò thôn Hà Thanh</t>
  </si>
  <si>
    <t>Cầu Nhà Bà - Con Cóc,Cổ Ngựa,
Nhà Mãy thôn Hòa Mỹ</t>
  </si>
  <si>
    <t>Vụng Su - Cầu Nhà Bà,Hoang Cao,Công Mói, Phụ Lạo thôn Đoài Phú</t>
  </si>
  <si>
    <t>Chùa Hà, thôn Hà Thanh</t>
  </si>
  <si>
    <t>Đền Phú Sơn</t>
  </si>
  <si>
    <t>Quy hoạch mở rộng nâng cấp đường giao thông thôn đất ông Tường đến đất ông Minh Thôn Khang.</t>
  </si>
  <si>
    <t xml:space="preserve"> Thôn Kỳ Phong</t>
  </si>
  <si>
    <t>Thôn Hồng Dinh</t>
  </si>
  <si>
    <t>Thôn Bắc Dinh</t>
  </si>
  <si>
    <t>Thôn Đồng Khánh, thôn Bắc Dinh</t>
  </si>
  <si>
    <t>Bàu Đìa, thôn Vĩnh Long</t>
  </si>
  <si>
    <t>Các thôn</t>
  </si>
  <si>
    <t>Từ đường 21 đồi Ông Nga- Đường MTZ, thôn Tân Sơn</t>
  </si>
  <si>
    <t>QH 3 loại rừng</t>
  </si>
  <si>
    <t>Thôn Thống Nhất, thôn Tân Sơn</t>
  </si>
  <si>
    <t>Các thôn vùng cát</t>
  </si>
  <si>
    <t>Vùng Cầu Đạo</t>
  </si>
  <si>
    <t>Đồng Hói Trộ, thôn Khang,Thôn Nguyên, Thôn Hanh</t>
  </si>
  <si>
    <t>Thôn Đại Tiến</t>
  </si>
  <si>
    <t>Thôn Tân Thanh, Lộc Nội, Quyết Tiên</t>
  </si>
  <si>
    <t>Thôn Quý, Thôn Khang</t>
  </si>
  <si>
    <t>Thôn Yên Thượng</t>
  </si>
  <si>
    <t>Thôn Tân Phúc</t>
  </si>
  <si>
    <t>Thôn Vĩnh Long</t>
  </si>
  <si>
    <t>Cửa ông Diến, Hồi cố Đỉnh, thôn Đồng Giang</t>
  </si>
  <si>
    <t>Thôn Vĩnh Trung</t>
  </si>
  <si>
    <t>Thôn Trần Phú</t>
  </si>
  <si>
    <t>Thôn Lộc Nội, thôn Tân Thanh</t>
  </si>
  <si>
    <t>Thôn Đồng Sơn, thôn Quý Linh</t>
  </si>
  <si>
    <t>Thôn Đồng Xuân</t>
  </si>
  <si>
    <t>Thôn Bắc Dinh, Đại Tiến</t>
  </si>
  <si>
    <t>Đồng Bàu Sim Cơn, thôn Vĩnh Long</t>
  </si>
  <si>
    <t>Đồng Hói Cây Đa, thôn Đồng Giang</t>
  </si>
  <si>
    <t>Thôn Bắc Văn</t>
  </si>
  <si>
    <t>Thôn Lộc Ân</t>
  </si>
  <si>
    <t>Thôn Xuân Sơn, Bắc Tiến, Nhà Ngo</t>
  </si>
  <si>
    <t>Thôn Kỳ Phong</t>
  </si>
  <si>
    <t>Thôn Trần Phú, thôn Hồng Dinh</t>
  </si>
  <si>
    <t xml:space="preserve"> Thôn Tân Thanh</t>
  </si>
  <si>
    <t>Đồng Lùm Đưng + Cồn Chứa, thôn Bắc Văn, Nam Văn</t>
  </si>
  <si>
    <t>Đồng Trằm Nha, dọc quốc lộ 15B</t>
  </si>
  <si>
    <t>Thôn Vĩnh Trung, Vĩnh Cát</t>
  </si>
  <si>
    <t>Thôn Vĩnh Cát</t>
  </si>
  <si>
    <t>Thôn Bắc Thượng, Nam Thượng, Liên Hương</t>
  </si>
  <si>
    <t>Thôn Bắc Bàu Láng</t>
  </si>
  <si>
    <t xml:space="preserve"> Thôn Quyết Tiến</t>
  </si>
  <si>
    <t>Trong đê sông Cái</t>
  </si>
  <si>
    <t>Thôn Thiên Thai</t>
  </si>
  <si>
    <t>Thôn Quý Linh</t>
  </si>
  <si>
    <t>Thôn Tân Phúc, Thôn Vĩnh Long</t>
  </si>
  <si>
    <t>Thôn Nam Thắng</t>
  </si>
  <si>
    <t>Thôn Bắc, Trung, Tân</t>
  </si>
  <si>
    <t>Đông Văn Xã Thạch Văn - Thạch Hội</t>
  </si>
  <si>
    <t>Thôn Tân Thanh, Lộc Nội</t>
  </si>
  <si>
    <t>Thôn Tân Thanh, Quyết Tiến</t>
  </si>
  <si>
    <t>Thôn Phúc Thanh</t>
  </si>
  <si>
    <t>Nhà văn hóa củ, thôn Thanh Cao, thôn Phúc Lan</t>
  </si>
  <si>
    <t>Thôn Đan Khê</t>
  </si>
  <si>
    <t>Thôn Đông Sơn</t>
  </si>
  <si>
    <t>Thôn Bắc Trị</t>
  </si>
  <si>
    <t>Thôn Đồng Khánh</t>
  </si>
  <si>
    <t>Thôn Toàn Thắng</t>
  </si>
  <si>
    <t>Thôn Đại Tiến, Bắc Dinh, Hồng Dinh</t>
  </si>
  <si>
    <t>Thôn Bàu Láng</t>
  </si>
  <si>
    <t>Thôn Kỳ Sơn</t>
  </si>
  <si>
    <t>Thôn Lâm Hưng</t>
  </si>
  <si>
    <t>Thôn Hoà Bình</t>
  </si>
  <si>
    <t>Thôn Tân Lộc</t>
  </si>
  <si>
    <t>Thôn Trung Long</t>
  </si>
  <si>
    <t>thôn Phúc Điền</t>
  </si>
  <si>
    <t>Thôn Nam Lĩnh</t>
  </si>
  <si>
    <t>Thôn Tân Đông</t>
  </si>
  <si>
    <t>Thôn Lộc Hồ</t>
  </si>
  <si>
    <t>Thôn Đồng Vĩnh, Xuân Sơn</t>
  </si>
  <si>
    <t>Thôn Tây Sơn, Kim Sơn</t>
  </si>
  <si>
    <t>Thôn Thiên Thai, Vĩnh Cát</t>
  </si>
  <si>
    <t>Thôn Tân Hương, Bàu Am, Song Hoành</t>
  </si>
  <si>
    <t>Thôn Tân Đình, Bến Toàn</t>
  </si>
  <si>
    <t>Vùng Mụ Gát, thôn Lộc Ân, thôn Yên Nghĩa</t>
  </si>
  <si>
    <t>Thôn Bắc Tiến, Nhà Ngo, Trung Nam</t>
  </si>
  <si>
    <t>Thôn Tùng Sơn</t>
  </si>
  <si>
    <t>Thôn Tùng Lâm</t>
  </si>
  <si>
    <t>Thôn Hưng Hoà</t>
  </si>
  <si>
    <t>Thôn Nam Bình</t>
  </si>
  <si>
    <t xml:space="preserve"> Thôn Bàu Láng, thôn Liên Hương</t>
  </si>
  <si>
    <t>Giáp xã Phù Việt và thôn Phú</t>
  </si>
  <si>
    <t>Khoảnh 7 tiểu khu 301a, Thôn Hưng Hoà</t>
  </si>
  <si>
    <t>Khoảnh 2 tiểu khu 298A thôn Lâm Hưng</t>
  </si>
  <si>
    <t>Khoảnh 2b tiểu khu 298A thôn Lâm Hưng</t>
  </si>
  <si>
    <t>Khoảnh 2b tiểu khu 298A thôn Yên Thượng</t>
  </si>
  <si>
    <t>Khoảnh 4 tiểu khu 298A thôn Yên Thượng</t>
  </si>
  <si>
    <t>Khoảnh 4 tiểu khu 298A thôn Hưng Hòa</t>
  </si>
  <si>
    <t>Dốc đất đỏ, thôn Tân Sơn</t>
  </si>
  <si>
    <t>Thôn Đông Văn, Tân Văn</t>
  </si>
  <si>
    <t>Thôn Thọ, thôn Nguyên</t>
  </si>
  <si>
    <t>Thôn Việt Yên, Lâm Hưng, Tân Đông</t>
  </si>
  <si>
    <t>Nam thượng, liên hương, liên vinh</t>
  </si>
  <si>
    <t>Thôn Liên Vĩnh</t>
  </si>
  <si>
    <t>Thôn Tân Hương đi thôn Vĩnh Tiến</t>
  </si>
  <si>
    <t>Thôn Bắc Văn, Trung Văn, Tân Văn</t>
  </si>
  <si>
    <t>Thôn Nam Văn</t>
  </si>
  <si>
    <t>Thôn Phúc Điền</t>
  </si>
  <si>
    <t xml:space="preserve"> Thôn Bàu Láng</t>
  </si>
  <si>
    <t>Thôn Tân Đình, Song Hoành, Bàu am, Yên Nghĩa</t>
  </si>
  <si>
    <t>Cửa NVH thôn Đan Khê</t>
  </si>
  <si>
    <t>Đội Rai, thôn Sâm Lộc, Rú Nác, thôn Sâm Lộc, Trục Vạc, thôn Sâm Lộc</t>
  </si>
  <si>
    <t>các thôn</t>
  </si>
  <si>
    <t>Nhà Thủy nông HL3, thôn Nam Văn, Bắc Văn,Đường Tránh cẩm bình, thôn Nam Văn.Vùng Cổng Chào đi nhà ông Tứ thôn Bắc VănVùng làng sinh thái, thôn Trung Văn</t>
  </si>
  <si>
    <t>Đồng Cục Đá,Vùng Trạng Bò thôn Tân Văn</t>
  </si>
  <si>
    <t>Cạnh bưu điện xã, thôn Bình Sơn</t>
  </si>
  <si>
    <t>Đường 15B Trẹm Pooc, thôn Trường Xuân</t>
  </si>
  <si>
    <t xml:space="preserve">Trục đường từ thôn - QL1A, thôn Phú, vùng Trọt Trét Nhà  Xăng thôn Ninh, vùng Kề Làng thôn Nguyên, vùng Nhà Xăng thôn Ninh, cựa Hòa Thôn Phú Quý, Đồng Đàng Thôn Lợi </t>
  </si>
  <si>
    <t>Thôn Quý, thôn Phú, thôn Ninh, thôn Hanh,trạm điện cũ (Thôn Nguyên), Thôn Khang, thôn Lợi, thôn Thọ</t>
  </si>
  <si>
    <t>Thôn Đình Hàn, Vạn Đò, Sơn Hà, Tân Hợp</t>
  </si>
  <si>
    <t>Cầu Đường Quan, thôn Thượng Phú,Dặm dân các thôn, Phú Sơn,
Dắm dân, thôn Thượng Phú</t>
  </si>
  <si>
    <t>Mở rộng trường tiểu học Thạch Trị</t>
  </si>
  <si>
    <t>Quy hoạch Vùng lấy đất san lấp</t>
  </si>
  <si>
    <t>Quy hoạch Vùng lấy đất san lấp 1</t>
  </si>
  <si>
    <t>Quy hoạch Vùng lấy đất san lấp 2</t>
  </si>
  <si>
    <t>Quy hoạch Vùng lấy đất san lấp 3</t>
  </si>
  <si>
    <t>Quy hoạch Vùng lấy đất san lấp 4</t>
  </si>
  <si>
    <t xml:space="preserve">Qyuy hoạch Đất làm gạch, ngói </t>
  </si>
  <si>
    <t>Mở rộng trạm y tế xã</t>
  </si>
  <si>
    <t>0,72ha QH trên
 diện tích đát 
rừng tự nhiên</t>
  </si>
  <si>
    <t>4,3ha QH trên
 diện tích đát 
rừng tự nhiên</t>
  </si>
  <si>
    <t>1,5ha diện tích QH trên đất rừng tự nhiên</t>
  </si>
  <si>
    <t>0,7ha diện tích QH trên đất rừng tự nhiên</t>
  </si>
  <si>
    <t>1 phần diện tích QH trên đất rừng tự nhiên</t>
  </si>
  <si>
    <t>Quy hoạch, mở rộng đường trục Tân Văn đi đồng Vạn</t>
  </si>
  <si>
    <t>Quy hoạch đường từ Quốc lộ 8C đến thôn Tân Hưng</t>
  </si>
  <si>
    <t>Quy hoạch mở rộng nâng cấp đường giao thông tỉnh lộ 7 từ QL1A  đến đất xã Việt Tiến.</t>
  </si>
  <si>
    <t>TLH54, 
TĐ34</t>
  </si>
  <si>
    <t>RPN</t>
  </si>
  <si>
    <t>Vị trí bản đồ cấp huyện</t>
  </si>
  <si>
    <t>Mở rộng nhà thờ Thu Chỉ</t>
  </si>
  <si>
    <t>Quỹ tín dụng nhân dân Bắc Thạch</t>
  </si>
  <si>
    <t xml:space="preserve">QH mở rộng đường giao thông thôn Thống Nhất nối đường ĐH 102 </t>
  </si>
  <si>
    <t>Thôn Thống Nhất, thôn Kỳ Sơn, xã Thạch Đài</t>
  </si>
  <si>
    <t xml:space="preserve">QH Mở rộng đường giao thông thôn Thống Nhất đi Kỳ Sơn  </t>
  </si>
  <si>
    <t>Thôn Thống Nhất, thôn Kỳ Phong, xã Thạch Đài</t>
  </si>
  <si>
    <t>Đất ở thôn Bắc Hải vùng giáp nhà văn hóa</t>
  </si>
  <si>
    <t xml:space="preserve"> Thôn Hội Cát</t>
  </si>
  <si>
    <t>Các thôn, xã Lưu Vĩnh Sơn</t>
  </si>
  <si>
    <t>Dự án khu du lịch biển Văn - Trị (Xã Thạch Văn)</t>
  </si>
  <si>
    <t xml:space="preserve"> Dự án khu du lịch biển Văn - Trị (Xã Thạch Trị)</t>
  </si>
  <si>
    <t>Quy hoạch khu công nghiệp phía Tây (Xã Lưu Vĩnh Sơn)</t>
  </si>
  <si>
    <t>Quy hoạch khu công nghiệp phía Tây (Xã Thạch Xuân)</t>
  </si>
  <si>
    <t>Quy hoạch khu công nghiệp phía Tây (Xã Thạch Đài)</t>
  </si>
  <si>
    <t>Khu du lịch nghỉ dưỡng APEC Mandala Grand Thạch Hà tại các xã Thạch Trị-Thạch Văn-Thạch Hội, huyên Thạch Hà của CTCP đầu tư IDJ Việt Nam - xã Thạch Văn</t>
  </si>
  <si>
    <t>Khu du lịch nghỉ dưỡng APEC Mandala Grand Thạch Hà tại các xã Thạch Trị-Thạch Văn-Thạch Hội, huyên Thạch Hà của CTCP đầu tư IDJ Việt Nam - xã Thạch Hội</t>
  </si>
  <si>
    <t>Dự án sân Golf  Apec Mandala Thạch Hà - Xã Thạch Văn</t>
  </si>
  <si>
    <t>Dự án sân Golf  Apec Mandala Thạch Hà - Xã Thạch Trị</t>
  </si>
  <si>
    <t>CÔNG TRÌNH QH XÃ TRÙNG QH KHU NGHỈ DƯỠNG</t>
  </si>
  <si>
    <t>CÔNG TRÌNH QH XÃ TRÙNG QH SÂN GON</t>
  </si>
  <si>
    <t>Quy hoạch đất thương mại - 
dịch vụ</t>
  </si>
  <si>
    <t>Mở rộng Nghĩa trang</t>
  </si>
  <si>
    <t>Mở rộng Nghĩa trang nghĩa địa</t>
  </si>
  <si>
    <t>Quy hoạch,mở rộng nghĩa trang</t>
  </si>
  <si>
    <t>SKS</t>
  </si>
  <si>
    <t>Quy hoạch đường sắt cao tốc Bắc Nam - Xã Thạch Liên</t>
  </si>
  <si>
    <t>Quy hoạch đường sắt cao tốc Bắc Nam - Xã Việt Tiến</t>
  </si>
  <si>
    <t>Đường cao tốc Bắc Nam đoạn Bãi Vọt - Vũng Áng - Xã Việt Tiến</t>
  </si>
  <si>
    <t>Quy hoạch đường sắt cao tốc Bắc Nam - Xã Tân Lâm Hương</t>
  </si>
  <si>
    <t>Đường cao tốc Bắc Nam đoạn Bãi Vọt - Vũng Áng - Xã Tân Lâm Hương</t>
  </si>
  <si>
    <t>Đường cao tốc Bắc Nam đoạn Bãi Vọt - Vũng Áng - Xã Nam Điền</t>
  </si>
  <si>
    <t>Quy hoạch đường sắt cao tốc Bắc Nam - Xã Nam Điền</t>
  </si>
  <si>
    <t>Thôn Kỳ Sơn, thôn Đại Đồng, xã Thạch Đài</t>
  </si>
  <si>
    <t>Quy hoạch đường sắt cao tốc Bắc Nam - Xã Thạch Đài</t>
  </si>
  <si>
    <t>Đường cao tốc Bắc Nam đoạn Bãi Vọt - Vũng Áng - Xã Thạch Đài</t>
  </si>
  <si>
    <t>Quy hoạch đường sắt cao tốc Bắc Nam - Thị trấn Thạch Hà</t>
  </si>
  <si>
    <t>Toàn xã Lưu Vĩnh Sơn</t>
  </si>
  <si>
    <t>Quy hoạch đường sắt cao tốc Bắc Nam - Xã Lưu Vĩnh Sơn</t>
  </si>
  <si>
    <t>Đường cao tốc Bắc Nam đoạn Bãi Vọt - Vũng Áng - Xã Lưu Vĩnh Sơn</t>
  </si>
  <si>
    <t>Đường cao tốc Bắc Nam đoạn Bãi Vọt - Vũng Áng - Xã Thạch Xuân</t>
  </si>
  <si>
    <t>Đường cao tốc Bắc Nam đoạn Bãi Vọt - Vũng Áng - Xã Thạch Ngọc</t>
  </si>
  <si>
    <t>Thôn Mộc Hải, Mỹ Châu, Ngọc Sơn</t>
  </si>
  <si>
    <t>Nâng cao độ tin cậy cung cấp lưới điện cung cấp lưới điện trung áp</t>
  </si>
  <si>
    <t>Quy hoạch Trạm phát sóng BTS - Xã Đỉnh Bàn</t>
  </si>
  <si>
    <t xml:space="preserve"> Thôn Bình Sơn, Văn Sơn, Xuân Trường, thôn thanh Long</t>
  </si>
  <si>
    <t>13,23, 41, 42</t>
  </si>
  <si>
    <t>Quy hoạch Trạm phát sóng BTS - Xã Lưu Vĩnh Sơn</t>
  </si>
  <si>
    <t>Thôn Tân Lộc, Yên Thượng, Trung Hòa</t>
  </si>
  <si>
    <t>Quy hoạch Trạm phát sóng BTS - Xã Nam Điền</t>
  </si>
  <si>
    <t>Thôn Trung Tâm, Xã Ngọc Sơn</t>
  </si>
  <si>
    <t>Quy hoạch Trạm phát sóng BTS - Xã Ngọc Sơn</t>
  </si>
  <si>
    <t>Quy hoạch Trạm phát sóng BTS - Xã Tân Lâm Hương</t>
  </si>
  <si>
    <t>Quy hoạch Trạm phát sóng BTS - Thị Trấn Thạch Hà</t>
  </si>
  <si>
    <t>Thôn Thống Nhất, Bàu Láng, Liên Vinh, Kỳ Sơn, Bắc Thượng, xã Thạch Đài</t>
  </si>
  <si>
    <t>Quy hoạch Trạm phát sóng BTS - Xã Thạch Đài</t>
  </si>
  <si>
    <t>Bắc, Thượng, 
Nam, Đại</t>
  </si>
  <si>
    <t>30,31,32,33</t>
  </si>
  <si>
    <t>Quy hoạch Trạm phát sóng BTS - Xã Thạch Hải</t>
  </si>
  <si>
    <t>Quy hoạch Trạm phát sóng BTS - Xã Thạch Hội</t>
  </si>
  <si>
    <t>Thôn Bắc Thai, Liên Quý, Liên Phố, Bình Dương</t>
  </si>
  <si>
    <t>Thôn Thượng Nguyên, thôn Trí Na</t>
  </si>
  <si>
    <t>Quy hoạch Trạm phát sóng BTS - Xã Thạch Kênh</t>
  </si>
  <si>
    <t>Quy hoạch Trạm phát sóng BTS - Xã Thạch Khê</t>
  </si>
  <si>
    <t>Thôn Quyết Tiến, Hòa Lạc, Vĩnh Thịnh, Quang Lạc</t>
  </si>
  <si>
    <t>Quy hoạch Trạm phát sóng BTS - Xã Thạch Lạc</t>
  </si>
  <si>
    <t>Quy hoạch Trạm phát sóng BTS - Xã Thạch Liên</t>
  </si>
  <si>
    <t>Thôn Mỹ Châu, Tân Tiến, Quý Hải, Ngọc Sơn</t>
  </si>
  <si>
    <t>Quy hoạch Trạm phát sóng BTS - Xã Thạch Ngọc</t>
  </si>
  <si>
    <t>Thôn Hà, Tân Hợp</t>
  </si>
  <si>
    <t>42, 45</t>
  </si>
  <si>
    <t>Quy hoạch Trạm phát sóng BTS - Xã Thạch Sơn</t>
  </si>
  <si>
    <t xml:space="preserve">Thôn Hòa Lạc, xã Thạch Thắng  </t>
  </si>
  <si>
    <t>Quy hoạch Trạm phát sóng BTS - Xã Thạch Thắng</t>
  </si>
  <si>
    <t>Thôn Đại Tiên, Đồng Khánh, Trần Phú, xã Thạch Trị</t>
  </si>
  <si>
    <t>Quy hoạch Trạm phát sóng BTS - Xã Thạch Trị</t>
  </si>
  <si>
    <t>Thôn Bắc Văn, Đông Văn, Trung Văn, Nam Văn, Xã Thạch Văn</t>
  </si>
  <si>
    <t>Quy hoạch Trạm phát sóng BTS - Xã Thạch Văn</t>
  </si>
  <si>
    <t>Quy hoạch Trạm phát sóng BTS - Xã Thạch Xuân</t>
  </si>
  <si>
    <t>Quy hoạch Trạm phát sóng BTS - Xã Thạch Long</t>
  </si>
  <si>
    <t>Quy hoạch Trạm phát sóng BTS - Xã Việt Tiến</t>
  </si>
  <si>
    <t>Các xã, thị trấn</t>
  </si>
  <si>
    <t>Chuyển mục đích đất vườn sang đất ở xã Tượng Sơn</t>
  </si>
  <si>
    <t>Chuyển mục đích đất vườn sang đất ở - xã Thạch Kênh</t>
  </si>
  <si>
    <t>Chuyển mục đích đất vườn sang đất ở - xã Thạch Hội</t>
  </si>
  <si>
    <t>Chuyển mục đích đất vườn sang đất ở - xã Thạch  Hải</t>
  </si>
  <si>
    <t>Chuyển mục đích đất vườn sang đất ở - xã Thạch Đài</t>
  </si>
  <si>
    <t>Chuyển mục đích đất vườn sang đất ở - xã Tân Lâm Hương</t>
  </si>
  <si>
    <t>Chuyển mục đích đất vườn sang đất ở - xã Ngọc Sơn</t>
  </si>
  <si>
    <t>Chuyển mục đích đất vườn sang đất ở - xã Nam Điền</t>
  </si>
  <si>
    <t>Chuyển mục đích đất vườn sang đất ở - xã Lưu Vĩnh Sơn</t>
  </si>
  <si>
    <t>Chuyển mục đích đất vườn sang đất ở - xã Đỉnh Bàn</t>
  </si>
  <si>
    <t>Chuyển mục đích đất vườn sang đất ở - xã Thạch Khê</t>
  </si>
  <si>
    <t>Chuyển mục đích đất vườn sang đất ở - xã Thạch Lạc</t>
  </si>
  <si>
    <t>Chuyển mục đích đất vườn sang đất ở - xã Thạch Liên</t>
  </si>
  <si>
    <t>Chuyển mục đích đất vườn sang đất ở - Xã Thạch Ngọc</t>
  </si>
  <si>
    <t>Chuyển mục đích đất vườn sang đất ở - Xã Thạch Sơn</t>
  </si>
  <si>
    <t>Chuyển mục đích đất vườn sang đất ở - Xã Thạch Thắng</t>
  </si>
  <si>
    <t>Chuyển mục đích đất vườn sang đất ở - Xã Thạch Trị</t>
  </si>
  <si>
    <t>Chuyển mục đích đất vườn sang đất ở - Xã Thạch Văn</t>
  </si>
  <si>
    <t>Chuyển mục đích đất vườn sang đất ở - Xã Thạch Xuân</t>
  </si>
  <si>
    <t>Chuyển mục đích đất vườn sang đất ở - Xã Thạch Long</t>
  </si>
  <si>
    <t>Chuyển mục đích đất vườn sang đất ở - Xã Việt Tiến</t>
  </si>
  <si>
    <t>Các xã</t>
  </si>
  <si>
    <t xml:space="preserve">1,5ha diện tích QH trên đất rừng tự nhiên VÀ  8,63ha, Diện tích nằm trong vùng ảnh hưởng của công trình khu Nghỉ dưỡng Apec Madala </t>
  </si>
  <si>
    <t xml:space="preserve">1,97ha, Diện tích nằm trong ranh giới hồ bộc nguyên </t>
  </si>
  <si>
    <t>Diện tích nằm trong ranh giới hồ bộc nguyên 5,55ha</t>
  </si>
  <si>
    <t>Diện tích bị ảnh hưởng bởi công trình sân Golf 5,64 ha</t>
  </si>
  <si>
    <t>Diện tích nằm trong khu đô thị hàm nghi 1,71ha</t>
  </si>
  <si>
    <t>Diện tích ảnh hưởng bởi hành lang bảo vệ bờ biển là 3,3ha</t>
  </si>
  <si>
    <t>nằm trong khu công nghiệp phía tây</t>
  </si>
  <si>
    <t>Diện tích nằm trong ranh giới hồ bộc nguyên là 4,47ha</t>
  </si>
  <si>
    <t>Diện tích ảnh hưởng bởi ranh giới bảo vệ bờ biển là 28,14ha</t>
  </si>
  <si>
    <t>Diện tích nằm trong hành lang bảo vệ bờ biển 6,29ha</t>
  </si>
  <si>
    <t>diện tích nằm khu đô thị hàm nghi 16,56 ha</t>
  </si>
  <si>
    <t>Thôn Bắc Thượng</t>
  </si>
  <si>
    <t>Diện tích nằm trong khu công nghiệp Thạch Khê là 3,93ha</t>
  </si>
  <si>
    <t>nằm trong ranh giới hồ bộc nguyên</t>
  </si>
  <si>
    <t>Diện tích nằm trong hành lang bảo vệ bờ biển là 4,36ha</t>
  </si>
  <si>
    <t>Diện tích ảnh hưởng bởi công trình sân Golf 0,05ha tại xã Thạch Trị, 0,04ha tại xã Thạch Văn, Diện tích nằm trong khu công nghiệp phía tây tại xã Lưu Vĩnh Sơn, xã Thạch Xuân 0,22ha, Diện tích nằm trong khu đô thị hàm nghi 0,03ha</t>
  </si>
  <si>
    <t>Diện tích ảnh hưởng bởi công trình sân Golf 0,05ha</t>
  </si>
  <si>
    <t>Diện tích ảnh hưởng bởi công trình sân Golf 0,04ha</t>
  </si>
  <si>
    <t>Diện tích nằm trong ranh giới hồ bộc nguyên là 4,09ha</t>
  </si>
  <si>
    <t>Diện tích nằm trong vùng ảnh hưởng của công trình khu Nghỉ dưỡng Apec Madala 1,83ha</t>
  </si>
  <si>
    <t>Diện tích nằm trong vùng ảnh hưởng của công trình khu Nghỉ dưỡng Apec Madala 2,42ha</t>
  </si>
  <si>
    <t>Diện tích nằm trong khu đô thị hàm nghi 1,04ha</t>
  </si>
  <si>
    <t>Diện tích bị ảnh hưởng bởi công trình sân Golf 7,36 ha, 0,7ha diện tích QH trên đất rừng tự nhiên</t>
  </si>
  <si>
    <t>Diện tích bị ảnh hưởng bởi dự án khu nghỉ dưỡng Madala là 0,61ha</t>
  </si>
  <si>
    <t xml:space="preserve"> thôn Xuân Trường, Văn Sơn</t>
  </si>
  <si>
    <t>43 ,44</t>
  </si>
  <si>
    <t>Quy hoạch trạm biến áp - Xã Đỉnh Bàn</t>
  </si>
  <si>
    <t>Quy hoạch trạm biến áp - Xã Lưu Vĩnh Sơn</t>
  </si>
  <si>
    <t>Thôn Yên Thượng, Phúc Điền, Tùng Sơn, Việt Yên, Bắc Tiến, Lộc Ân</t>
  </si>
  <si>
    <t>Quy hoạch trạm biến áp - Xã Nam Điền</t>
  </si>
  <si>
    <t>Quy hoạch trạm biến áp - Xã Ngọc Sơn</t>
  </si>
  <si>
    <t>Thôn Bình Tiến, thôn Kỷ Các, thôn Tân Tiến, thôn Đồng Dưng</t>
  </si>
  <si>
    <t>Quy hoạch trạm biến áp - Xã Tân Lâm Hương</t>
  </si>
  <si>
    <t>Quy hoạch trạm biến áp - Thị trấn Thạch Hà</t>
  </si>
  <si>
    <t>Nam giang, Bắc Bình, Bắc Sơn, Bắc Giang, Hòa Mỹ, xã Tượng Sơn</t>
  </si>
  <si>
    <t>Quy hoạch trạm biến áp - Xã Tượng Sơn</t>
  </si>
  <si>
    <t>Thôn Thống Nhất, Kỳ Sơn,  Nam Thượng, Nam Bình, xã Thạch Đài</t>
  </si>
  <si>
    <t>Quy hoạch trạm biến áp - Xã Thạch Đài</t>
  </si>
  <si>
    <t>Quy hoạch trạm biến áp - Xã Thạch Hải</t>
  </si>
  <si>
    <t>Thôn Thượng Nguyên, thôn Chi Lưu</t>
  </si>
  <si>
    <t>50 và 12</t>
  </si>
  <si>
    <t>Quy hoạch trạm biến áp - Xã Thạch Kênh</t>
  </si>
  <si>
    <t xml:space="preserve">Thôn Đồng Giang, Tân Phúc, Phúc Thanh, </t>
  </si>
  <si>
    <t>Quy hoạch trạm biến áp - Xã Thạch Khê</t>
  </si>
  <si>
    <t>Thôn Thanh Quang, Quyết Tiến, Hòa Lạc, Vĩnh Thịnh, Bắc Lạc</t>
  </si>
  <si>
    <t>Quy hoạch trạm biến áp - Xã Thạch Lạc</t>
  </si>
  <si>
    <t>Thôn Tây, Thôn Lợi, Thôn Phú, Thôn Quý</t>
  </si>
  <si>
    <t>71,72,73,74,75</t>
  </si>
  <si>
    <t>Quy hoạch trạm biến áp - Xã Thạch Liên</t>
  </si>
  <si>
    <t xml:space="preserve">Thôn Trung Tiến, đồng Cổ Cò, Thôn Đại Long, </t>
  </si>
  <si>
    <t>Quy hoạch trạm biến áp - Xã Thạch Ngọc</t>
  </si>
  <si>
    <t>Thôn Hạ, Tân Hợp, Vạn Đò</t>
  </si>
  <si>
    <t>39,40,41</t>
  </si>
  <si>
    <t>Quy hoạch trạm biến áp - Xã Thạch Sơn</t>
  </si>
  <si>
    <t>Quy hoạch trạm biến áp - Xã Thạch Thắng</t>
  </si>
  <si>
    <t>Thôn Hòa Bình, Hòa Mỹ</t>
  </si>
  <si>
    <t>Quy hoạch trạm biến áp - Xã Thạch Trị</t>
  </si>
  <si>
    <t>Thôn Tân Văn, Bắc Văn, Nam Văn, Xã Thạch Văn</t>
  </si>
  <si>
    <t>Quy hoạch trạm biến áp - Xã Thạch Văn</t>
  </si>
  <si>
    <t>Thôn Tân Thanh, Đồng Bòng, Lộc Nội, Quyết Tiến</t>
  </si>
  <si>
    <t>Quy hoạch trạm biến áp - Xã Thạch Xuân</t>
  </si>
  <si>
    <t>Quy hoạch trạm biến áp - Xã Thạch Long</t>
  </si>
  <si>
    <t>Quy hoạch trạm biến áp - Xã Việt Tiến</t>
  </si>
  <si>
    <t>Thôn Trung Trinh, Việt Yên, Tùng Lang, Hòa Bình, Trửa, Trung Tiến</t>
  </si>
  <si>
    <t xml:space="preserve"> Thôn Nam Giang, thôn Gia Ngãi 1</t>
  </si>
  <si>
    <t>Khu đô thị Hàm Nghi tại thành phố Hà Tĩnh và Thạch Hà (Xã Tân Lâm Hương)</t>
  </si>
  <si>
    <t>Khu đô thị Hàm Nghi tại thành phố Hà Tĩnh và Thạch Hà (Xã Thạch Đài)</t>
  </si>
  <si>
    <t>Xã Thạch Văn,  Thạch Hội</t>
  </si>
  <si>
    <t>Xã Thạch Văn, Thạch Trị</t>
  </si>
  <si>
    <t>1,2ha diện tích QH trên đất rừng tự nhiên ?????</t>
  </si>
  <si>
    <t>Quy hoạch khu Tái định cư mỏ sắt Thạch Khê</t>
  </si>
  <si>
    <t>Thôn Bắc Hải, Nam Hải</t>
  </si>
  <si>
    <t>Mở rộng khu trưng bày tội ác chiến tranh</t>
  </si>
  <si>
    <t>Đường Ngô Quyền kéo dài nối đến đường Vũ Quang (đường tỉnh ĐT 550), tiếp giáp phạm vi nút giao giữa đường bộ cao tốc Bắc -Nam và đường tỉnh ĐT 551 - Xã Lưu Vĩnh Sơn</t>
  </si>
  <si>
    <t>Đường Ngô Quyền kéo dài nối đến đường Vũ Quang (đường tỉnh ĐT 550), tiếp giáp phạm vi nút giao giữa đường bộ cao tốc Bắc -Nam và đường tỉnh ĐT 552 - Thị trấn Thạch Hà</t>
  </si>
  <si>
    <t>Xây dựng kênh dẫn nước từ hồ Thạch Tân đến hồ Nhật Tân (Thạch Linh) kết hợp đường giao thông - Xã Thạch Đài</t>
  </si>
  <si>
    <t>Xây dựng kênh dẫn nước từ hồ Thạch Tân đến hồ Nhật Tân (Thạch Linh) kết hợp đường giao thông - Xã Tân Lâm Hương</t>
  </si>
  <si>
    <t>Mở rộng đường Tỉnh lộ 7 - Xã Việt Tiến</t>
  </si>
  <si>
    <t>Mở rộng đường Tỉnh lộ 7 - Xã Thạch Ngọc</t>
  </si>
  <si>
    <t>Xã Việt Tiến, xã Thạch Ngọc, xã Ngọc Sơn</t>
  </si>
  <si>
    <t>Mở rộng Tỉnh lộ 7 - Xã Ngọc Sơn</t>
  </si>
  <si>
    <t>Công trình dự án đường giao thông liên xã Ngọc Sơn đi Lưu Vĩnh Sơn - Xã Ngọc Sơn</t>
  </si>
  <si>
    <t>Công trình dự án đường giao thông liên xã Ngọc Sơn đi Lưu Vĩnh Sơn - Xã Lưu Vĩnh Sơn</t>
  </si>
  <si>
    <t>NS26, 
LVS30</t>
  </si>
  <si>
    <t>Công trình, dự án: Đường trục chính kết nối các xã phía Tây về trung tâm huyện Thạch Hà - Thị trấn Thạch Hà</t>
  </si>
  <si>
    <t>Công trình, dự án: Đường trục chính kết nối các xã phía Tây về trung tâm huyện Thạch Hà - Xã Lưu Vĩnh Sơn</t>
  </si>
  <si>
    <t>Công trình, dự án: Đường trục chính kết nối các xã phía Tây về trung tâm huyện Thạch Hà - Xã Việt Tiến</t>
  </si>
  <si>
    <t>Xã Lưu VĨnh Sơn</t>
  </si>
  <si>
    <t>Nâng cấp mở rộng đường DH 104 - Xã Tượng Sơn</t>
  </si>
  <si>
    <t>Nâng cấp mở rộng đường DH 105 - Xã Thạch Thắng</t>
  </si>
  <si>
    <t>Nâng cấp mở rộng đường DH 106 - Xã Thạch Trị</t>
  </si>
  <si>
    <t>Nâng cấp mở rộng đường DH 107 - Xã Thạch Văn</t>
  </si>
  <si>
    <t>Xã Thạch trị</t>
  </si>
  <si>
    <t>Mở rộng tuyến đường Quốc lộ 8C (tên cũ là Tỉnh lộ 21) - Xã Nam Điền</t>
  </si>
  <si>
    <t>Mở rộng tuyến đường Quốc lộ 8C (tên cũ là Tỉnh lộ 21)- Xã Thạch Xuân</t>
  </si>
  <si>
    <t>Dự án nâng cấp mở rộng đường huyện lộ ĐH 103</t>
  </si>
  <si>
    <t>Dự án nâng cấp mở rộng đường huyện lộ ĐH 104</t>
  </si>
  <si>
    <t>Công trình, dự án: Đường trục ngang ven biển huyện Thạch Hà (Đường 19-5) - Xã Thạch Hải</t>
  </si>
  <si>
    <t>Công trình, dự án: Đường trục ngang ven biển huyện Thạch Hà (Đường 19-5)- Xã Thạch trị</t>
  </si>
  <si>
    <t>Công trình, dự án: Đường trục ngang ven biển huyện Thạch Hà (Đường 19-5) - Xã Thạch Văn</t>
  </si>
  <si>
    <t>Công trình, dự án: Đường trục ngang ven biển huyện Thạch Hà (Đường 19-5) - Xã Thạch Hội</t>
  </si>
  <si>
    <t>Nâng cấp mở rộng đường liên xã Tượng Sơn - Thạch Lạc - Xã Tượng SƠn</t>
  </si>
  <si>
    <t>Nâng cấp mở rộng đường liên xã Tượng Sơn - Thạch Lạc - Xã Thạch Lạc</t>
  </si>
  <si>
    <t>Hệ thống tiêu thoát lũ vùng Tây Nam Thạch Hà (Giai đoạn 1) - Xã Thạch Đài</t>
  </si>
  <si>
    <t xml:space="preserve">Hệ thống tiêu thoát lũ vùng Tây Nam Thạch Hà (Giai đoạn 1) </t>
  </si>
  <si>
    <t>Hệ thống tiêu thoát lũ vùng Tây Nam Thạch Hà (Giai đoạn 1)- Xã Lưu Vĩnh Sơn</t>
  </si>
  <si>
    <t>Hệ thống tiêu thoát lũ vùng Tây Nam Thạch Hà (Giai đoạn 1) - Thị trấn Thạch Hà</t>
  </si>
  <si>
    <t>Hệ thống tiêu thoát lũ vùng Tây Nam Thạch Hà (Giai đoạn 2)- Xã Thạch Xuân</t>
  </si>
  <si>
    <t>Hệ thống tiêu thoát lũ vùng Tây Nam Thạch Hà (Giai đoạn 2)-Xã Thạch Đài</t>
  </si>
  <si>
    <t>Hệ thống tiêu thoát lũ vùng Tây Nam Thạch Hà (Giai đoạn 2)- Thị trấn Thạch Hà</t>
  </si>
  <si>
    <t>Nạo vét, gia cố hệ thống sông Đò Bang đoạn từ xã Thạch Hội đến xã Thạch Lạc, huyện Thạch Hà - Xã Thạch Hội</t>
  </si>
  <si>
    <t>Nạo vét, gia cố hệ thống sông Đò Bang đoạn từ xã Thạch Hội đến xã Thạch Lạc, huyện Thạch Hà - Xã Thạch Văn</t>
  </si>
  <si>
    <t>Nạo vét, gia cố hệ thống sông Đò Bang đoạn từ xã Thạch Hội đến xã Thạch Lạc, huyện Thạch Hà - Xã Thạch Trị</t>
  </si>
  <si>
    <t>Nạo vét, gia cố hệ thống sông Đò Bang đoạn từ xã Thạch Hội đến xã Thạch Lạc, huyện Thạch Hà - Xã Thạch Thắng</t>
  </si>
  <si>
    <t>Nạo vét, gia cố hệ thống sông Đò Bang đoạn từ xã Thạch Hội đến xã Thạch Lạc, huyện Thạch Hà - Xã Tượng Sơn</t>
  </si>
  <si>
    <t>Nạo vét, gia cố hệ thống sông Đò Bang đoạn từ xã Thạch Hội đến xã Thạch Lạc, huyện Thạch Hà - Thạch Lạc</t>
  </si>
  <si>
    <t>Xử lý cấp bách đê Hữu Phủ, huyện Thạch Hà, đoạn từ K10+00 đến K15+316 - Xã Thạch Khê</t>
  </si>
  <si>
    <t>Xử lý cấp bách đê Hữu Phủ, huyện Thạch Hà, đoạn từ K10+00 đến K15+317 - Xã Đỉnh Bàn</t>
  </si>
  <si>
    <t>Tiểu dự án thành phần Khắc phục, sữa chữa, nâng cấp tuyến đê Hữu Nghèn huyện Thạch Hà - Xã Thạch Kênh</t>
  </si>
  <si>
    <t>Tiểu dự án thành phần Khắc phục, sữa chữa, nâng cấp tuyến đê Hữu Nghèn huyện Thạch Hà - Xã Thạch Sơn</t>
  </si>
  <si>
    <t>Công trình, dự án: Cải tạo, nâng cấp hệ thống thủy lợi Rào Trẻn, sông Cầu Sông - sông Già, Hói Trộ, huyện Thạch Hà - thị trấn Thạch Hà</t>
  </si>
  <si>
    <t>Công trình, dự án: Cải tạo, nâng cấp hệ thống thủy lợi Rào Trẻn, sông Cầu Sông - sông Già, Hói Trộ, huyện Thạch Hà - Xã Việt Tiến</t>
  </si>
  <si>
    <t>Công trình, dự án: Cải tạo, nâng cấp hệ thống thủy lợi Rào Trẻn, sông Cầu Sông - sông Già, Hói Trộ, huyện Thạch Hà - Xã Thạch Long</t>
  </si>
  <si>
    <t>Công trình, dự án: Cải tạo, nâng cấp hệ thống thủy lợi Rào Trẻn, sông Cầu Sông - sông Già, Hói Trộ, huyện Thạch Hà - Xã Thạch Sơn</t>
  </si>
  <si>
    <t>Công trình, dự án: Cải tạo, nâng cấp hệ thống thủy lợi Rào Trẻn, sông Cầu Sông - sông Già, Hói Trộ, huyện Thạch Hà - Xã Thạch Kênh</t>
  </si>
  <si>
    <t>Công trình, dự án: Cải tạo, nâng cấp hệ thống thủy lợi Rào Trẻn, sông Cầu Sông - sông Già, Hói Trộ, huyện Thạch Hà - Xã Thạch Liên</t>
  </si>
  <si>
    <t>Việt Tiến</t>
  </si>
  <si>
    <t>Thạch Long</t>
  </si>
  <si>
    <t>Thạch Sơn</t>
  </si>
  <si>
    <t>Thạch Kênh</t>
  </si>
  <si>
    <t>Thạch Liên</t>
  </si>
  <si>
    <t>THẠCH HỘI</t>
  </si>
  <si>
    <t>VIỆT TIẾN</t>
  </si>
  <si>
    <t>VIỆT TIÊNS</t>
  </si>
  <si>
    <t xml:space="preserve"> Nâng cấp, mở rộng tuyến đường Cẩm Thạch, Thạch Hội, Cẩm Xuyên</t>
  </si>
  <si>
    <t>Thôn Liên Phố, Thai Yên, Liên Quý, xã Thạch Hội</t>
  </si>
  <si>
    <t>Cồn Cố Nông, thị trấn Thạch Hà</t>
  </si>
  <si>
    <t>thị trấn Thạch Hà</t>
  </si>
  <si>
    <t>Thôn Đồng Giang, xã Thạch Khê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</si>
</sst>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
  </numFmts>
  <fonts count="31" x14ac:knownFonts="1">
    <font>
      <sz val="11"/>
      <color theme="1"/>
      <name val="Calibri"/>
      <family val="2"/>
      <charset val="163"/>
      <scheme val="minor"/>
    </font>
    <font>
      <sz val="11"/>
      <color theme="1"/>
      <name val="Calibri"/>
      <family val="2"/>
      <charset val="163"/>
      <scheme val="minor"/>
    </font>
    <font>
      <sz val="11"/>
      <color theme="1"/>
      <name val="Calibri"/>
      <family val="2"/>
      <scheme val="minor"/>
    </font>
    <font>
      <sz val="12"/>
      <name val="Times New Roman"/>
      <family val="1"/>
    </font>
    <font>
      <b/>
      <sz val="12"/>
      <name val="Times New Roman"/>
      <family val="1"/>
    </font>
    <font>
      <sz val="10"/>
      <name val="Arial"/>
      <family val="2"/>
    </font>
    <font>
      <sz val="10"/>
      <name val="Arial"/>
      <family val="2"/>
      <charset val="163"/>
    </font>
    <font>
      <sz val="12"/>
      <color theme="1"/>
      <name val="Times New Roman"/>
      <family val="1"/>
      <charset val="163"/>
    </font>
    <font>
      <sz val="11"/>
      <color theme="1"/>
      <name val="Times New Roman"/>
      <family val="1"/>
      <charset val="163"/>
    </font>
    <font>
      <sz val="11"/>
      <color rgb="FFFF0000"/>
      <name val="Calibri"/>
      <family val="2"/>
      <charset val="163"/>
      <scheme val="minor"/>
    </font>
    <font>
      <sz val="11"/>
      <name val="Calibri"/>
      <family val="2"/>
      <charset val="163"/>
      <scheme val="minor"/>
    </font>
    <font>
      <b/>
      <sz val="11"/>
      <color theme="1"/>
      <name val="Calibri"/>
      <family val="2"/>
      <charset val="163"/>
      <scheme val="minor"/>
    </font>
    <font>
      <b/>
      <sz val="11"/>
      <color rgb="FFFF0000"/>
      <name val="Calibri"/>
      <family val="2"/>
      <charset val="163"/>
      <scheme val="minor"/>
    </font>
    <font>
      <sz val="10"/>
      <name val=".VnTime"/>
      <family val="2"/>
    </font>
    <font>
      <b/>
      <sz val="12"/>
      <name val="Times New Roman"/>
      <family val="1"/>
      <charset val="163"/>
    </font>
    <font>
      <sz val="12"/>
      <name val="Times New Roman"/>
      <family val="1"/>
      <charset val="163"/>
    </font>
    <font>
      <b/>
      <sz val="14"/>
      <name val="Times New Roman"/>
      <family val="1"/>
      <charset val="163"/>
    </font>
    <font>
      <sz val="14"/>
      <color theme="1"/>
      <name val="Times New Roman"/>
      <family val="1"/>
      <charset val="163"/>
    </font>
    <font>
      <b/>
      <sz val="14"/>
      <color theme="1"/>
      <name val="Times New Roman"/>
      <family val="1"/>
      <charset val="163"/>
    </font>
    <font>
      <sz val="12"/>
      <color rgb="FFFF0000"/>
      <name val="Times New Roman"/>
      <family val="1"/>
      <charset val="163"/>
    </font>
    <font>
      <b/>
      <sz val="14"/>
      <color rgb="FFFF0000"/>
      <name val="Times New Roman"/>
      <family val="1"/>
      <charset val="163"/>
    </font>
    <font>
      <sz val="14"/>
      <color rgb="FFFF0000"/>
      <name val="Times New Roman"/>
      <family val="1"/>
      <charset val="163"/>
    </font>
    <font>
      <sz val="14"/>
      <name val="Times New Roman"/>
      <family val="1"/>
      <charset val="163"/>
    </font>
    <font>
      <sz val="11"/>
      <color rgb="FF7030A0"/>
      <name val="Calibri"/>
      <family val="2"/>
      <charset val="163"/>
      <scheme val="minor"/>
    </font>
    <font>
      <b/>
      <sz val="11"/>
      <color rgb="FF7030A0"/>
      <name val="Calibri"/>
      <family val="2"/>
      <charset val="163"/>
      <scheme val="minor"/>
    </font>
    <font>
      <sz val="10"/>
      <name val="Times New Roman"/>
      <family val="1"/>
      <charset val="163"/>
    </font>
    <font>
      <b/>
      <sz val="11"/>
      <name val="Calibri"/>
      <family val="2"/>
      <charset val="163"/>
      <scheme val="minor"/>
    </font>
    <font>
      <sz val="11"/>
      <name val="Times New Roman"/>
      <family val="1"/>
    </font>
    <font>
      <i/>
      <sz val="12"/>
      <name val="Times New Roman"/>
      <family val="1"/>
      <charset val="163"/>
    </font>
    <font>
      <sz val="11"/>
      <name val="Times New Roman"/>
      <family val="1"/>
      <charset val="163"/>
    </font>
    <font>
      <sz val="12"/>
      <name val="Calibri"/>
      <family val="2"/>
      <charset val="163"/>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
      <patternFill patternType="solid">
        <fgColor indexed="9"/>
        <bgColor indexed="64"/>
      </patternFill>
    </fill>
    <fill>
      <patternFill patternType="solid">
        <fgColor rgb="FFFF0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hair">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cellStyleXfs>
  <cellXfs count="225">
    <xf numFmtId="0" fontId="0" fillId="0" borderId="0" xfId="0"/>
    <xf numFmtId="0" fontId="8"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0" xfId="0" applyFont="1"/>
    <xf numFmtId="0" fontId="0" fillId="4" borderId="0" xfId="0" applyFill="1"/>
    <xf numFmtId="0" fontId="11" fillId="0" borderId="0" xfId="0" applyFont="1"/>
    <xf numFmtId="0" fontId="4" fillId="0" borderId="1" xfId="3"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0" fontId="7" fillId="0" borderId="0" xfId="0" applyFont="1"/>
    <xf numFmtId="0" fontId="0" fillId="5" borderId="0" xfId="0" applyFill="1"/>
    <xf numFmtId="0" fontId="13" fillId="6" borderId="3" xfId="0" applyFont="1" applyFill="1" applyBorder="1" applyProtection="1"/>
    <xf numFmtId="0" fontId="12" fillId="0" borderId="0" xfId="0" applyFont="1"/>
    <xf numFmtId="0" fontId="0" fillId="8" borderId="0" xfId="0" applyFill="1"/>
    <xf numFmtId="0" fontId="9" fillId="2" borderId="0" xfId="0" applyFont="1" applyFill="1"/>
    <xf numFmtId="2" fontId="4" fillId="5" borderId="1" xfId="3" applyNumberFormat="1" applyFont="1" applyFill="1" applyBorder="1" applyAlignment="1" applyProtection="1">
      <alignment horizontal="center" vertical="center" wrapText="1"/>
      <protection hidden="1"/>
    </xf>
    <xf numFmtId="0" fontId="4" fillId="8" borderId="1" xfId="3" applyFont="1" applyFill="1" applyBorder="1" applyAlignment="1">
      <alignment horizontal="center" vertical="center" wrapText="1" shrinkToFit="1"/>
    </xf>
    <xf numFmtId="2" fontId="0" fillId="0" borderId="0" xfId="0" applyNumberFormat="1"/>
    <xf numFmtId="0" fontId="15" fillId="3" borderId="1" xfId="0" applyFont="1" applyFill="1" applyBorder="1" applyAlignment="1">
      <alignment horizontal="center" vertical="center"/>
    </xf>
    <xf numFmtId="0" fontId="4" fillId="3" borderId="0" xfId="0" applyFont="1" applyFill="1" applyBorder="1" applyAlignment="1">
      <alignment horizontal="center"/>
    </xf>
    <xf numFmtId="0" fontId="4" fillId="3" borderId="2" xfId="0" applyFont="1" applyFill="1" applyBorder="1" applyAlignment="1">
      <alignment horizontal="center"/>
    </xf>
    <xf numFmtId="0" fontId="4" fillId="5" borderId="1" xfId="3" applyFont="1" applyFill="1" applyBorder="1" applyAlignment="1">
      <alignment horizontal="center" vertical="center" wrapText="1" shrinkToFit="1"/>
    </xf>
    <xf numFmtId="0" fontId="16" fillId="3" borderId="1" xfId="3" applyFont="1" applyFill="1" applyBorder="1" applyAlignment="1">
      <alignment vertical="center" wrapText="1"/>
    </xf>
    <xf numFmtId="0" fontId="17" fillId="0" borderId="0" xfId="0" applyFont="1"/>
    <xf numFmtId="0" fontId="16" fillId="3" borderId="1" xfId="3" applyFont="1" applyFill="1" applyBorder="1" applyAlignment="1">
      <alignment horizontal="center" vertical="center" wrapText="1"/>
    </xf>
    <xf numFmtId="2" fontId="16" fillId="3" borderId="1" xfId="3" applyNumberFormat="1" applyFont="1" applyFill="1" applyBorder="1" applyAlignment="1" applyProtection="1">
      <alignment horizontal="center" vertical="center" wrapText="1"/>
      <protection hidden="1"/>
    </xf>
    <xf numFmtId="0" fontId="16" fillId="3" borderId="1" xfId="3" applyFont="1" applyFill="1" applyBorder="1" applyAlignment="1">
      <alignment horizontal="center" vertical="center" wrapText="1" shrinkToFit="1"/>
    </xf>
    <xf numFmtId="0" fontId="17" fillId="0" borderId="1" xfId="0" applyFont="1" applyBorder="1"/>
    <xf numFmtId="0" fontId="17" fillId="5" borderId="1" xfId="0" applyFont="1" applyFill="1" applyBorder="1"/>
    <xf numFmtId="0" fontId="18" fillId="0" borderId="1" xfId="0" applyFont="1" applyBorder="1"/>
    <xf numFmtId="0" fontId="18" fillId="5" borderId="1" xfId="0" applyFont="1" applyFill="1" applyBorder="1"/>
    <xf numFmtId="0" fontId="18" fillId="0" borderId="0" xfId="0" applyFont="1"/>
    <xf numFmtId="0" fontId="20" fillId="3" borderId="1" xfId="3" applyFont="1" applyFill="1" applyBorder="1" applyAlignment="1">
      <alignment horizontal="center" vertical="center" wrapText="1"/>
    </xf>
    <xf numFmtId="0" fontId="21" fillId="0" borderId="1" xfId="0" applyFont="1" applyBorder="1"/>
    <xf numFmtId="0" fontId="20" fillId="0" borderId="1" xfId="0" applyFont="1" applyBorder="1"/>
    <xf numFmtId="0" fontId="21" fillId="0" borderId="0" xfId="0" applyFont="1"/>
    <xf numFmtId="0" fontId="4" fillId="3" borderId="0" xfId="0" applyFont="1" applyFill="1" applyBorder="1" applyAlignment="1">
      <alignment horizontal="center"/>
    </xf>
    <xf numFmtId="0" fontId="4" fillId="3" borderId="2" xfId="0" applyFont="1" applyFill="1" applyBorder="1" applyAlignment="1">
      <alignment horizontal="center"/>
    </xf>
    <xf numFmtId="0" fontId="21" fillId="2" borderId="1" xfId="0" applyFont="1" applyFill="1" applyBorder="1"/>
    <xf numFmtId="2" fontId="15" fillId="0" borderId="1" xfId="0" applyNumberFormat="1" applyFont="1" applyFill="1" applyBorder="1" applyAlignment="1">
      <alignment horizontal="center" vertical="center"/>
    </xf>
    <xf numFmtId="2" fontId="15" fillId="0" borderId="1" xfId="5"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xf>
    <xf numFmtId="0" fontId="14" fillId="0" borderId="1" xfId="3" applyFont="1" applyFill="1" applyBorder="1" applyAlignment="1">
      <alignment horizontal="center" vertical="center" wrapText="1"/>
    </xf>
    <xf numFmtId="2" fontId="14" fillId="0" borderId="1" xfId="3" applyNumberFormat="1" applyFont="1" applyFill="1" applyBorder="1" applyAlignment="1" applyProtection="1">
      <alignment horizontal="center" vertical="center" wrapText="1"/>
      <protection hidden="1"/>
    </xf>
    <xf numFmtId="0" fontId="14" fillId="0" borderId="1" xfId="3"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5" fillId="0" borderId="1" xfId="0" applyFont="1" applyFill="1" applyBorder="1" applyAlignment="1">
      <alignment horizontal="center" wrapText="1"/>
    </xf>
    <xf numFmtId="2" fontId="15" fillId="0" borderId="1" xfId="0" applyNumberFormat="1" applyFont="1" applyFill="1" applyBorder="1" applyAlignment="1">
      <alignment horizontal="left" vertical="center" wrapText="1"/>
    </xf>
    <xf numFmtId="0" fontId="10" fillId="0" borderId="1" xfId="0" applyFont="1" applyFill="1" applyBorder="1"/>
    <xf numFmtId="0" fontId="22" fillId="0" borderId="1" xfId="0" applyFont="1" applyFill="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0" xfId="0" applyFont="1" applyFill="1"/>
    <xf numFmtId="0" fontId="10" fillId="2" borderId="0" xfId="0" applyFont="1" applyFill="1"/>
    <xf numFmtId="0" fontId="10" fillId="5" borderId="0" xfId="0" applyFont="1" applyFill="1"/>
    <xf numFmtId="0" fontId="10" fillId="3" borderId="0" xfId="0" applyFont="1" applyFill="1"/>
    <xf numFmtId="0" fontId="9" fillId="3" borderId="0" xfId="0" applyFont="1" applyFill="1"/>
    <xf numFmtId="0" fontId="9" fillId="9" borderId="0" xfId="0" applyFont="1" applyFill="1"/>
    <xf numFmtId="0" fontId="9" fillId="4" borderId="0" xfId="0" applyFont="1" applyFill="1"/>
    <xf numFmtId="0" fontId="9" fillId="0" borderId="0" xfId="0" applyFont="1" applyFill="1"/>
    <xf numFmtId="0" fontId="9" fillId="5" borderId="0" xfId="0" applyFont="1" applyFill="1"/>
    <xf numFmtId="164" fontId="9" fillId="0" borderId="0" xfId="1" applyFont="1"/>
    <xf numFmtId="0" fontId="10" fillId="10" borderId="0" xfId="0" applyFont="1" applyFill="1"/>
    <xf numFmtId="0" fontId="12" fillId="0" borderId="0" xfId="0" applyFont="1" applyAlignment="1">
      <alignment vertical="center"/>
    </xf>
    <xf numFmtId="0" fontId="23" fillId="0" borderId="0" xfId="0" applyFont="1" applyFill="1"/>
    <xf numFmtId="0" fontId="24" fillId="0" borderId="0" xfId="0" applyFont="1"/>
    <xf numFmtId="0" fontId="19" fillId="2" borderId="0" xfId="0" applyFont="1" applyFill="1"/>
    <xf numFmtId="0" fontId="9" fillId="7" borderId="0" xfId="0" applyFont="1" applyFill="1"/>
    <xf numFmtId="0" fontId="9" fillId="0" borderId="0" xfId="0" applyFont="1" applyFill="1" applyAlignment="1"/>
    <xf numFmtId="0" fontId="19" fillId="5" borderId="0" xfId="0" applyFont="1" applyFill="1"/>
    <xf numFmtId="0" fontId="14" fillId="0" borderId="1" xfId="3" applyFont="1" applyFill="1" applyBorder="1" applyAlignment="1">
      <alignment horizontal="center" vertical="center" wrapText="1"/>
    </xf>
    <xf numFmtId="0" fontId="14" fillId="0" borderId="1" xfId="3" applyFont="1" applyFill="1" applyBorder="1" applyAlignment="1">
      <alignment vertical="center" wrapText="1"/>
    </xf>
    <xf numFmtId="0" fontId="15" fillId="0" borderId="0" xfId="0" applyFont="1" applyFill="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2" fontId="14" fillId="0" borderId="1" xfId="3" applyNumberFormat="1" applyFont="1" applyFill="1" applyBorder="1" applyAlignment="1">
      <alignment horizontal="center" vertical="center" wrapText="1"/>
    </xf>
    <xf numFmtId="2" fontId="15" fillId="0" borderId="1" xfId="0" applyNumberFormat="1" applyFont="1" applyFill="1" applyBorder="1"/>
    <xf numFmtId="0" fontId="14" fillId="0" borderId="1" xfId="0" applyFont="1" applyFill="1" applyBorder="1" applyAlignment="1">
      <alignment horizontal="center" vertical="center"/>
    </xf>
    <xf numFmtId="2"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left" vertical="center"/>
    </xf>
    <xf numFmtId="2" fontId="14" fillId="0" borderId="1" xfId="0" applyNumberFormat="1" applyFont="1" applyFill="1" applyBorder="1" applyAlignment="1">
      <alignment horizontal="center"/>
    </xf>
    <xf numFmtId="0" fontId="15" fillId="0" borderId="1" xfId="0" applyFont="1" applyFill="1" applyBorder="1"/>
    <xf numFmtId="2"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left" vertical="center" wrapText="1"/>
    </xf>
    <xf numFmtId="1" fontId="14" fillId="0" borderId="1" xfId="0" applyNumberFormat="1" applyFont="1" applyFill="1" applyBorder="1" applyAlignment="1">
      <alignment horizontal="center" vertical="center"/>
    </xf>
    <xf numFmtId="0" fontId="14" fillId="0" borderId="0" xfId="0" applyFont="1" applyFill="1"/>
    <xf numFmtId="0" fontId="14" fillId="0" borderId="1" xfId="0" applyFont="1" applyFill="1" applyBorder="1"/>
    <xf numFmtId="0" fontId="14" fillId="0" borderId="1" xfId="0" applyFont="1" applyFill="1" applyBorder="1" applyAlignment="1">
      <alignment horizont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0" fontId="3" fillId="0" borderId="1" xfId="0" applyFont="1" applyFill="1" applyBorder="1"/>
    <xf numFmtId="0" fontId="15" fillId="0" borderId="1" xfId="6" applyFont="1" applyFill="1" applyBorder="1" applyAlignment="1">
      <alignment horizontal="left" vertical="center" wrapText="1"/>
    </xf>
    <xf numFmtId="0" fontId="15" fillId="0" borderId="1" xfId="5" applyFont="1" applyFill="1" applyBorder="1" applyAlignment="1">
      <alignment horizontal="center" vertical="center" wrapText="1"/>
    </xf>
    <xf numFmtId="0" fontId="15" fillId="0" borderId="1" xfId="6" applyFont="1" applyFill="1" applyBorder="1" applyAlignment="1">
      <alignment horizontal="center" vertical="center" wrapText="1"/>
    </xf>
    <xf numFmtId="0" fontId="15" fillId="0" borderId="1" xfId="0" applyFont="1" applyFill="1" applyBorder="1" applyAlignment="1">
      <alignment wrapText="1"/>
    </xf>
    <xf numFmtId="0" fontId="14" fillId="0" borderId="1" xfId="8" applyFont="1" applyFill="1" applyBorder="1" applyAlignment="1">
      <alignment horizontal="center" vertical="center" wrapText="1"/>
    </xf>
    <xf numFmtId="1" fontId="15" fillId="0" borderId="1" xfId="0" applyNumberFormat="1" applyFont="1" applyFill="1" applyBorder="1" applyAlignment="1">
      <alignment horizontal="center" vertical="center"/>
    </xf>
    <xf numFmtId="2" fontId="15" fillId="0" borderId="1" xfId="0" applyNumberFormat="1" applyFont="1" applyFill="1" applyBorder="1" applyAlignment="1">
      <alignment horizontal="center" wrapText="1"/>
    </xf>
    <xf numFmtId="2" fontId="15" fillId="0" borderId="1" xfId="0" applyNumberFormat="1" applyFont="1" applyFill="1" applyBorder="1" applyAlignment="1">
      <alignment horizontal="left" vertical="center"/>
    </xf>
    <xf numFmtId="0" fontId="15" fillId="0" borderId="1" xfId="5" applyFont="1" applyFill="1" applyBorder="1" applyAlignment="1">
      <alignment horizontal="left" vertical="center" wrapText="1"/>
    </xf>
    <xf numFmtId="0" fontId="15" fillId="0" borderId="1" xfId="5" applyFont="1" applyFill="1" applyBorder="1" applyAlignment="1">
      <alignment horizontal="center" vertical="center"/>
    </xf>
    <xf numFmtId="2" fontId="15" fillId="0" borderId="1" xfId="5" applyNumberFormat="1" applyFont="1" applyFill="1" applyBorder="1" applyAlignment="1">
      <alignment horizontal="center" vertical="center"/>
    </xf>
    <xf numFmtId="0" fontId="15" fillId="0" borderId="1" xfId="0" applyFont="1" applyFill="1" applyBorder="1" applyAlignment="1">
      <alignment horizontal="left"/>
    </xf>
    <xf numFmtId="0" fontId="15" fillId="0" borderId="1" xfId="0" applyFont="1" applyFill="1" applyBorder="1" applyAlignment="1"/>
    <xf numFmtId="2" fontId="15" fillId="0" borderId="1" xfId="1" applyNumberFormat="1" applyFont="1" applyFill="1" applyBorder="1" applyAlignment="1">
      <alignment horizontal="center" vertical="center"/>
    </xf>
    <xf numFmtId="2" fontId="15" fillId="0" borderId="1" xfId="6"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2" fontId="14" fillId="0" borderId="1" xfId="0" applyNumberFormat="1" applyFont="1" applyFill="1" applyBorder="1" applyAlignment="1">
      <alignment horizontal="center" wrapText="1"/>
    </xf>
    <xf numFmtId="43" fontId="3" fillId="0" borderId="1" xfId="0" applyNumberFormat="1" applyFont="1" applyFill="1" applyBorder="1" applyAlignment="1" applyProtection="1">
      <alignment horizontal="left" vertical="center" wrapText="1"/>
      <protection locked="0"/>
    </xf>
    <xf numFmtId="0" fontId="3" fillId="0" borderId="1" xfId="6" applyFont="1" applyFill="1" applyBorder="1" applyAlignment="1">
      <alignment horizontal="left" vertical="center" wrapText="1"/>
    </xf>
    <xf numFmtId="0" fontId="15" fillId="0" borderId="1" xfId="0" applyFont="1" applyFill="1" applyBorder="1" applyAlignment="1">
      <alignment vertical="center"/>
    </xf>
    <xf numFmtId="2" fontId="14" fillId="0" borderId="1" xfId="0" applyNumberFormat="1" applyFont="1" applyFill="1" applyBorder="1"/>
    <xf numFmtId="1" fontId="15" fillId="0" borderId="1" xfId="0" applyNumberFormat="1" applyFont="1" applyFill="1" applyBorder="1" applyAlignment="1">
      <alignment horizontal="left" vertical="center"/>
    </xf>
    <xf numFmtId="2" fontId="15" fillId="0" borderId="1" xfId="0" applyNumberFormat="1" applyFont="1" applyFill="1" applyBorder="1" applyAlignment="1">
      <alignment horizontal="center"/>
    </xf>
    <xf numFmtId="0" fontId="15" fillId="0" borderId="1" xfId="0" applyFont="1" applyFill="1" applyBorder="1" applyAlignment="1">
      <alignment horizontal="right"/>
    </xf>
    <xf numFmtId="0" fontId="25" fillId="0" borderId="1" xfId="0" applyFont="1" applyFill="1" applyBorder="1" applyAlignment="1">
      <alignment horizontal="center" vertical="center" wrapText="1"/>
    </xf>
    <xf numFmtId="2" fontId="15" fillId="0" borderId="0" xfId="0" applyNumberFormat="1" applyFont="1" applyFill="1" applyAlignment="1">
      <alignment horizontal="center" vertical="center"/>
    </xf>
    <xf numFmtId="0" fontId="15" fillId="0" borderId="1" xfId="3" applyFont="1" applyFill="1" applyBorder="1" applyAlignment="1">
      <alignment horizontal="left" vertical="center" wrapText="1"/>
    </xf>
    <xf numFmtId="0" fontId="15" fillId="0" borderId="1" xfId="5" applyFont="1" applyFill="1" applyBorder="1" applyAlignment="1">
      <alignment horizontal="left" vertical="center"/>
    </xf>
    <xf numFmtId="0" fontId="15" fillId="0" borderId="1" xfId="0" applyFont="1" applyFill="1" applyBorder="1" applyAlignment="1">
      <alignment horizontal="left" wrapText="1"/>
    </xf>
    <xf numFmtId="0" fontId="26" fillId="0" borderId="0" xfId="0" applyFont="1" applyFill="1"/>
    <xf numFmtId="49" fontId="3" fillId="0" borderId="1" xfId="0" applyNumberFormat="1" applyFont="1" applyFill="1" applyBorder="1" applyAlignment="1">
      <alignment vertical="center" wrapText="1"/>
    </xf>
    <xf numFmtId="0" fontId="3" fillId="0" borderId="1" xfId="0" applyFont="1" applyFill="1" applyBorder="1" applyAlignment="1">
      <alignment horizontal="center"/>
    </xf>
    <xf numFmtId="2" fontId="3" fillId="0" borderId="1" xfId="0" applyNumberFormat="1" applyFont="1" applyFill="1" applyBorder="1" applyAlignment="1">
      <alignment horizontal="center"/>
    </xf>
    <xf numFmtId="0" fontId="3" fillId="0" borderId="1" xfId="0" applyFont="1" applyFill="1" applyBorder="1" applyAlignment="1">
      <alignment horizontal="left" wrapText="1"/>
    </xf>
    <xf numFmtId="2" fontId="10" fillId="0" borderId="1" xfId="0" applyNumberFormat="1" applyFont="1" applyFill="1" applyBorder="1" applyAlignment="1">
      <alignment horizontal="center"/>
    </xf>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xf>
    <xf numFmtId="0" fontId="15" fillId="0" borderId="4" xfId="0" applyFont="1" applyFill="1" applyBorder="1" applyAlignment="1">
      <alignment horizontal="center"/>
    </xf>
    <xf numFmtId="2" fontId="15" fillId="0" borderId="1" xfId="7" applyNumberFormat="1" applyFont="1" applyFill="1" applyBorder="1" applyAlignment="1">
      <alignment horizontal="center" vertical="center"/>
    </xf>
    <xf numFmtId="0" fontId="25" fillId="0" borderId="1" xfId="0" applyFont="1" applyFill="1" applyBorder="1" applyAlignment="1">
      <alignment horizontal="left" wrapText="1"/>
    </xf>
    <xf numFmtId="0" fontId="25" fillId="0" borderId="1" xfId="0" applyFont="1" applyFill="1" applyBorder="1" applyAlignment="1">
      <alignment horizontal="left" vertical="center" wrapText="1"/>
    </xf>
    <xf numFmtId="2" fontId="15" fillId="0" borderId="1" xfId="0" applyNumberFormat="1" applyFont="1" applyFill="1" applyBorder="1" applyAlignment="1">
      <alignment vertical="center" wrapText="1"/>
    </xf>
    <xf numFmtId="0" fontId="25" fillId="0" borderId="1" xfId="5" applyFont="1" applyFill="1" applyBorder="1" applyAlignment="1">
      <alignment horizontal="center" vertical="center" wrapText="1"/>
    </xf>
    <xf numFmtId="2" fontId="15" fillId="0" borderId="1" xfId="0" applyNumberFormat="1" applyFont="1" applyFill="1" applyBorder="1" applyAlignment="1">
      <alignment wrapText="1"/>
    </xf>
    <xf numFmtId="2"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xf numFmtId="0" fontId="27" fillId="0" borderId="1" xfId="0" applyFont="1" applyFill="1" applyBorder="1" applyAlignment="1">
      <alignment horizontal="center"/>
    </xf>
    <xf numFmtId="0" fontId="4" fillId="0" borderId="1" xfId="0" applyFont="1" applyFill="1" applyBorder="1" applyAlignment="1">
      <alignment horizontal="center"/>
    </xf>
    <xf numFmtId="165" fontId="3" fillId="0" borderId="1" xfId="0" applyNumberFormat="1" applyFont="1" applyFill="1" applyBorder="1" applyAlignment="1">
      <alignment horizontal="center"/>
    </xf>
    <xf numFmtId="2" fontId="3" fillId="0" borderId="1" xfId="0" applyNumberFormat="1" applyFont="1" applyFill="1" applyBorder="1" applyAlignment="1">
      <alignmen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vertical="center"/>
    </xf>
    <xf numFmtId="1" fontId="3" fillId="0" borderId="1" xfId="0" applyNumberFormat="1" applyFont="1" applyFill="1" applyBorder="1" applyAlignment="1">
      <alignment horizontal="left" vertical="center"/>
    </xf>
    <xf numFmtId="0" fontId="3" fillId="0" borderId="1" xfId="0" applyFont="1" applyFill="1" applyBorder="1" applyAlignment="1">
      <alignment horizontal="right" vertical="center"/>
    </xf>
    <xf numFmtId="0" fontId="3" fillId="0" borderId="1" xfId="0" applyFont="1" applyFill="1" applyBorder="1" applyAlignment="1">
      <alignment horizontal="center" wrapText="1"/>
    </xf>
    <xf numFmtId="0" fontId="3" fillId="0" borderId="1" xfId="0" applyFont="1" applyFill="1" applyBorder="1" applyAlignment="1">
      <alignment horizontal="left"/>
    </xf>
    <xf numFmtId="0" fontId="15" fillId="0" borderId="0" xfId="0" applyFont="1" applyFill="1" applyAlignment="1"/>
    <xf numFmtId="0" fontId="15" fillId="0" borderId="1" xfId="4" applyFont="1" applyFill="1" applyBorder="1" applyAlignment="1">
      <alignment horizontal="left" vertical="center" wrapText="1"/>
    </xf>
    <xf numFmtId="1"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xf>
    <xf numFmtId="1" fontId="15" fillId="0" borderId="1" xfId="9" applyNumberFormat="1" applyFont="1" applyFill="1" applyBorder="1" applyAlignment="1">
      <alignment horizontal="left" vertical="center" wrapText="1"/>
    </xf>
    <xf numFmtId="0" fontId="14" fillId="0" borderId="1" xfId="0" applyFont="1" applyFill="1" applyBorder="1" applyAlignment="1">
      <alignment vertical="center"/>
    </xf>
    <xf numFmtId="0" fontId="14" fillId="0" borderId="0" xfId="0" applyFont="1" applyFill="1" applyAlignment="1">
      <alignment vertical="center"/>
    </xf>
    <xf numFmtId="2" fontId="15" fillId="0" borderId="1" xfId="6" applyNumberFormat="1" applyFont="1" applyFill="1" applyBorder="1" applyAlignment="1">
      <alignment horizontal="center" vertical="center"/>
    </xf>
    <xf numFmtId="2" fontId="15" fillId="0" borderId="1" xfId="7" applyNumberFormat="1" applyFont="1" applyFill="1" applyBorder="1" applyAlignment="1">
      <alignment horizontal="left" vertical="center" wrapText="1"/>
    </xf>
    <xf numFmtId="0" fontId="3" fillId="0" borderId="1" xfId="4" applyFont="1" applyFill="1" applyBorder="1" applyAlignment="1">
      <alignment horizontal="left" vertical="center" wrapText="1"/>
    </xf>
    <xf numFmtId="4" fontId="3" fillId="0" borderId="1" xfId="11"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xf>
    <xf numFmtId="0" fontId="3" fillId="0" borderId="1" xfId="6" applyFont="1" applyFill="1" applyBorder="1" applyAlignment="1">
      <alignment vertical="center" wrapText="1"/>
    </xf>
    <xf numFmtId="0" fontId="3" fillId="0" borderId="1" xfId="6" applyFont="1" applyFill="1" applyBorder="1" applyAlignment="1">
      <alignment horizontal="center" vertical="center" wrapText="1"/>
    </xf>
    <xf numFmtId="49" fontId="15" fillId="0" borderId="1" xfId="6" applyNumberFormat="1" applyFont="1" applyFill="1" applyBorder="1" applyAlignment="1">
      <alignment horizontal="left" vertical="center" wrapText="1"/>
    </xf>
    <xf numFmtId="9" fontId="15" fillId="0" borderId="1" xfId="2" applyFont="1" applyFill="1" applyBorder="1" applyAlignment="1">
      <alignment horizontal="left" vertical="center" wrapText="1"/>
    </xf>
    <xf numFmtId="2" fontId="28" fillId="0" borderId="1" xfId="0" applyNumberFormat="1" applyFont="1" applyFill="1" applyBorder="1" applyAlignment="1">
      <alignment horizontal="center" vertical="center" wrapText="1"/>
    </xf>
    <xf numFmtId="0" fontId="14" fillId="0" borderId="1" xfId="0" applyFont="1" applyFill="1" applyBorder="1" applyAlignment="1">
      <alignment horizontal="center" wrapText="1"/>
    </xf>
    <xf numFmtId="0" fontId="14" fillId="0" borderId="1" xfId="0" applyFont="1" applyFill="1" applyBorder="1" applyAlignment="1">
      <alignment wrapText="1"/>
    </xf>
    <xf numFmtId="2"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vertical="center"/>
    </xf>
    <xf numFmtId="0" fontId="3" fillId="0" borderId="1" xfId="3" applyFont="1" applyFill="1" applyBorder="1" applyAlignment="1">
      <alignment vertical="center" wrapText="1"/>
    </xf>
    <xf numFmtId="2" fontId="10" fillId="0" borderId="1" xfId="0" applyNumberFormat="1" applyFont="1" applyFill="1" applyBorder="1" applyAlignment="1">
      <alignment horizontal="center" vertical="center"/>
    </xf>
    <xf numFmtId="2" fontId="29" fillId="0" borderId="1" xfId="0" applyNumberFormat="1" applyFont="1" applyFill="1" applyBorder="1" applyAlignment="1">
      <alignment horizontal="center" vertical="center"/>
    </xf>
    <xf numFmtId="0" fontId="3" fillId="0" borderId="1" xfId="0" applyFont="1" applyFill="1" applyBorder="1" applyAlignment="1">
      <alignment wrapText="1"/>
    </xf>
    <xf numFmtId="1" fontId="3" fillId="0" borderId="1" xfId="0" applyNumberFormat="1" applyFont="1" applyFill="1" applyBorder="1" applyAlignment="1">
      <alignment horizontal="center" vertical="center"/>
    </xf>
    <xf numFmtId="0" fontId="10" fillId="0" borderId="1" xfId="0" applyFont="1" applyFill="1" applyBorder="1" applyAlignment="1">
      <alignment horizontal="center"/>
    </xf>
    <xf numFmtId="0" fontId="27" fillId="0" borderId="1" xfId="0" applyFont="1" applyFill="1" applyBorder="1" applyAlignment="1">
      <alignment wrapText="1"/>
    </xf>
    <xf numFmtId="0" fontId="27" fillId="0" borderId="1" xfId="0" applyFont="1" applyFill="1" applyBorder="1" applyAlignment="1">
      <alignment vertical="center" wrapText="1"/>
    </xf>
    <xf numFmtId="0" fontId="15" fillId="0" borderId="1" xfId="3" applyFont="1" applyFill="1" applyBorder="1" applyAlignment="1">
      <alignment vertical="center" wrapText="1"/>
    </xf>
    <xf numFmtId="2" fontId="15" fillId="0" borderId="1" xfId="5" applyNumberFormat="1" applyFont="1" applyFill="1" applyBorder="1" applyAlignment="1">
      <alignment horizontal="left" vertical="center" wrapText="1"/>
    </xf>
    <xf numFmtId="2" fontId="15" fillId="0" borderId="1" xfId="5" applyNumberFormat="1" applyFont="1" applyFill="1" applyBorder="1" applyAlignment="1">
      <alignment horizontal="left" vertical="center"/>
    </xf>
    <xf numFmtId="2" fontId="15" fillId="0" borderId="1" xfId="5" applyNumberFormat="1" applyFont="1" applyFill="1" applyBorder="1" applyAlignment="1">
      <alignment vertical="center" wrapText="1"/>
    </xf>
    <xf numFmtId="0" fontId="15" fillId="0" borderId="1" xfId="5" applyFont="1" applyFill="1" applyBorder="1" applyAlignment="1">
      <alignment vertical="center" wrapText="1"/>
    </xf>
    <xf numFmtId="0" fontId="10" fillId="0" borderId="0" xfId="0" applyFont="1" applyFill="1" applyAlignment="1">
      <alignment horizontal="center"/>
    </xf>
    <xf numFmtId="0" fontId="29" fillId="0" borderId="1" xfId="0" applyFont="1" applyFill="1" applyBorder="1"/>
    <xf numFmtId="0" fontId="3" fillId="0" borderId="1" xfId="3" applyFont="1" applyFill="1" applyBorder="1" applyAlignment="1">
      <alignment horizontal="left" vertical="center" wrapText="1"/>
    </xf>
    <xf numFmtId="0" fontId="3" fillId="0" borderId="1" xfId="5" applyFont="1" applyFill="1" applyBorder="1" applyAlignment="1">
      <alignment horizontal="center" vertical="center" wrapText="1"/>
    </xf>
    <xf numFmtId="0" fontId="15" fillId="0" borderId="1" xfId="0" applyFont="1" applyFill="1" applyBorder="1" applyAlignment="1">
      <alignment horizontal="right" wrapText="1"/>
    </xf>
    <xf numFmtId="165" fontId="3" fillId="0" borderId="1" xfId="0" applyNumberFormat="1" applyFont="1" applyFill="1" applyBorder="1" applyAlignment="1">
      <alignment vertical="center" wrapText="1"/>
    </xf>
    <xf numFmtId="0" fontId="3" fillId="0" borderId="1" xfId="0" applyFont="1" applyFill="1" applyBorder="1" applyAlignment="1">
      <alignment horizontal="left" vertical="center"/>
    </xf>
    <xf numFmtId="0" fontId="27" fillId="0" borderId="1" xfId="0" applyFont="1" applyFill="1" applyBorder="1" applyAlignment="1">
      <alignment horizontal="left"/>
    </xf>
    <xf numFmtId="2" fontId="15" fillId="0" borderId="1" xfId="0" applyNumberFormat="1" applyFont="1" applyFill="1" applyBorder="1" applyAlignment="1">
      <alignment horizontal="right" vertical="center" wrapText="1"/>
    </xf>
    <xf numFmtId="0" fontId="15" fillId="0" borderId="1" xfId="5" applyFont="1" applyFill="1" applyBorder="1" applyAlignment="1">
      <alignment horizontal="center"/>
    </xf>
    <xf numFmtId="0" fontId="25" fillId="0" borderId="1" xfId="0"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0" fontId="30" fillId="0" borderId="1" xfId="0" applyFont="1" applyFill="1" applyBorder="1"/>
    <xf numFmtId="2" fontId="15" fillId="0" borderId="1" xfId="6" applyNumberFormat="1" applyFont="1" applyFill="1" applyBorder="1" applyAlignment="1">
      <alignment horizontal="right" vertical="center" wrapText="1"/>
    </xf>
    <xf numFmtId="0" fontId="19" fillId="0" borderId="1" xfId="0" applyFont="1" applyFill="1" applyBorder="1" applyAlignment="1">
      <alignment horizontal="center" vertical="center"/>
    </xf>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wrapText="1"/>
    </xf>
    <xf numFmtId="0" fontId="19" fillId="0" borderId="1" xfId="0" applyFont="1" applyFill="1" applyBorder="1" applyAlignment="1">
      <alignment horizontal="center"/>
    </xf>
    <xf numFmtId="0" fontId="19" fillId="0" borderId="1" xfId="0"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0" fontId="19" fillId="0" borderId="1" xfId="5" applyFont="1" applyFill="1" applyBorder="1" applyAlignment="1">
      <alignment horizontal="center" vertical="center" wrapText="1"/>
    </xf>
    <xf numFmtId="0" fontId="19" fillId="0" borderId="1" xfId="6" applyFont="1" applyFill="1" applyBorder="1" applyAlignment="1">
      <alignment horizontal="center" vertical="center" wrapText="1"/>
    </xf>
    <xf numFmtId="0" fontId="19" fillId="0" borderId="1" xfId="5" applyFont="1" applyFill="1" applyBorder="1" applyAlignment="1">
      <alignment horizontal="center"/>
    </xf>
    <xf numFmtId="0" fontId="14" fillId="0" borderId="1" xfId="3" applyFont="1" applyFill="1" applyBorder="1" applyAlignment="1">
      <alignment horizontal="center" vertical="center" wrapText="1"/>
    </xf>
    <xf numFmtId="1" fontId="14" fillId="0" borderId="1" xfId="3" applyNumberFormat="1" applyFont="1" applyFill="1" applyBorder="1" applyAlignment="1">
      <alignment horizontal="center" vertical="center" wrapText="1"/>
    </xf>
    <xf numFmtId="0" fontId="4" fillId="3" borderId="0" xfId="0" applyFont="1" applyFill="1" applyBorder="1" applyAlignment="1">
      <alignment horizontal="center"/>
    </xf>
    <xf numFmtId="0" fontId="4" fillId="3" borderId="2" xfId="0" applyFont="1" applyFill="1" applyBorder="1" applyAlignment="1">
      <alignment horizont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6" fillId="3" borderId="1" xfId="3" applyFont="1" applyFill="1" applyBorder="1" applyAlignment="1">
      <alignment horizontal="center" vertical="center" wrapText="1"/>
    </xf>
    <xf numFmtId="1" fontId="16" fillId="3" borderId="1" xfId="3" applyNumberFormat="1" applyFont="1" applyFill="1" applyBorder="1" applyAlignment="1">
      <alignment horizontal="center" vertical="center" wrapText="1"/>
    </xf>
    <xf numFmtId="0" fontId="15" fillId="2" borderId="1" xfId="0" applyFont="1" applyFill="1" applyBorder="1" applyAlignment="1">
      <alignment horizontal="center" vertical="center" wrapText="1"/>
    </xf>
  </cellXfs>
  <cellStyles count="12">
    <cellStyle name="Comma" xfId="1" builtinId="3"/>
    <cellStyle name="Normal" xfId="0" builtinId="0"/>
    <cellStyle name="Normal 14" xfId="4"/>
    <cellStyle name="Normal 14 10" xfId="10"/>
    <cellStyle name="Normal 2" xfId="5"/>
    <cellStyle name="Normal 2 2 2" xfId="6"/>
    <cellStyle name="Normal 2 2 2 2" xfId="8"/>
    <cellStyle name="Normal 2 3" xfId="11"/>
    <cellStyle name="Normal 5" xfId="3"/>
    <cellStyle name="Normal_Bieu mau (CV )" xfId="9"/>
    <cellStyle name="Normal_Sheet1"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73"/>
  <sheetViews>
    <sheetView showZeros="0" zoomScale="85" zoomScaleNormal="85" workbookViewId="0">
      <pane xSplit="2" ySplit="4" topLeftCell="C5" activePane="bottomRight" state="frozen"/>
      <selection pane="topRight" activeCell="B1" sqref="B1"/>
      <selection pane="bottomLeft" activeCell="A3" sqref="A3"/>
      <selection pane="bottomRight" activeCell="H9" sqref="H9"/>
    </sheetView>
  </sheetViews>
  <sheetFormatPr defaultRowHeight="15.6" x14ac:dyDescent="0.3"/>
  <cols>
    <col min="1" max="1" width="10" style="2" customWidth="1"/>
    <col min="2" max="2" width="32.88671875" customWidth="1"/>
    <col min="3" max="3" width="7.44140625" customWidth="1"/>
    <col min="4" max="4" width="10.109375" customWidth="1"/>
    <col min="5" max="5" width="10.44140625" customWidth="1"/>
    <col min="6" max="6" width="11" customWidth="1"/>
    <col min="7" max="7" width="11.44140625" customWidth="1"/>
    <col min="8" max="9" width="9.109375" customWidth="1"/>
    <col min="10" max="10" width="10.5546875" customWidth="1"/>
    <col min="11" max="11" width="21.6640625" customWidth="1"/>
    <col min="12" max="12" width="19.88671875" customWidth="1"/>
    <col min="13" max="14" width="12.44140625" style="3" customWidth="1"/>
    <col min="15" max="15" width="21" style="3" customWidth="1"/>
    <col min="16" max="18" width="9.109375" style="10" hidden="1" customWidth="1"/>
    <col min="19" max="21" width="9.109375" style="13" hidden="1" customWidth="1"/>
    <col min="22" max="25" width="9.109375" style="10" hidden="1" customWidth="1"/>
    <col min="26" max="61" width="9.109375" hidden="1" customWidth="1"/>
    <col min="62" max="62" width="12.6640625" hidden="1" customWidth="1"/>
    <col min="63" max="63" width="10.33203125" hidden="1" customWidth="1"/>
    <col min="64" max="64" width="9.109375" style="1" hidden="1" customWidth="1"/>
    <col min="65" max="65" width="13" hidden="1" customWidth="1"/>
    <col min="66" max="66" width="18.44140625" customWidth="1"/>
    <col min="67" max="67" width="9.109375" customWidth="1"/>
    <col min="70" max="70" width="17.44140625" customWidth="1"/>
  </cols>
  <sheetData>
    <row r="1" spans="1:67" x14ac:dyDescent="0.3">
      <c r="A1" s="217" t="s">
        <v>755</v>
      </c>
      <c r="B1" s="217"/>
      <c r="C1" s="217"/>
      <c r="D1" s="217"/>
      <c r="E1" s="217"/>
      <c r="F1" s="217"/>
      <c r="G1" s="217"/>
      <c r="H1" s="217"/>
      <c r="I1" s="217"/>
      <c r="J1" s="217"/>
      <c r="K1" s="217"/>
      <c r="L1" s="217"/>
      <c r="M1" s="217"/>
      <c r="N1" s="36"/>
      <c r="O1" s="19"/>
    </row>
    <row r="2" spans="1:67" x14ac:dyDescent="0.3">
      <c r="A2" s="218"/>
      <c r="B2" s="218"/>
      <c r="C2" s="218"/>
      <c r="D2" s="218"/>
      <c r="E2" s="218"/>
      <c r="F2" s="218"/>
      <c r="G2" s="218"/>
      <c r="H2" s="218"/>
      <c r="I2" s="218"/>
      <c r="J2" s="218"/>
      <c r="K2" s="218"/>
      <c r="L2" s="218"/>
      <c r="M2" s="218"/>
      <c r="N2" s="37"/>
      <c r="O2" s="20"/>
      <c r="P2" s="15"/>
      <c r="Q2" s="15"/>
      <c r="R2" s="15"/>
      <c r="S2" s="16"/>
      <c r="T2" s="16"/>
      <c r="U2" s="16"/>
      <c r="V2" s="21"/>
      <c r="W2" s="21"/>
      <c r="X2" s="21"/>
      <c r="Y2" s="21"/>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8"/>
      <c r="BF2" s="8"/>
    </row>
    <row r="3" spans="1:67" x14ac:dyDescent="0.3">
      <c r="A3" s="215" t="s">
        <v>449</v>
      </c>
      <c r="B3" s="215" t="s">
        <v>0</v>
      </c>
      <c r="C3" s="215" t="s">
        <v>1</v>
      </c>
      <c r="D3" s="215" t="s">
        <v>2</v>
      </c>
      <c r="E3" s="215"/>
      <c r="F3" s="215"/>
      <c r="G3" s="215" t="s">
        <v>3</v>
      </c>
      <c r="H3" s="215"/>
      <c r="I3" s="215"/>
      <c r="J3" s="215"/>
      <c r="K3" s="215" t="s">
        <v>4</v>
      </c>
      <c r="L3" s="215" t="s">
        <v>5</v>
      </c>
      <c r="M3" s="215" t="s">
        <v>747</v>
      </c>
      <c r="N3" s="215" t="s">
        <v>1075</v>
      </c>
      <c r="O3" s="215" t="s">
        <v>759</v>
      </c>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216" t="s">
        <v>6</v>
      </c>
      <c r="BK3" s="215" t="s">
        <v>7</v>
      </c>
      <c r="BL3" s="215" t="s">
        <v>454</v>
      </c>
      <c r="BM3" s="215" t="s">
        <v>759</v>
      </c>
      <c r="BN3" s="75"/>
      <c r="BO3" s="75"/>
    </row>
    <row r="4" spans="1:67" ht="46.8" x14ac:dyDescent="0.3">
      <c r="A4" s="215"/>
      <c r="B4" s="215"/>
      <c r="C4" s="215"/>
      <c r="D4" s="73" t="s">
        <v>8</v>
      </c>
      <c r="E4" s="73" t="s">
        <v>9</v>
      </c>
      <c r="F4" s="73" t="s">
        <v>10</v>
      </c>
      <c r="G4" s="46" t="s">
        <v>11</v>
      </c>
      <c r="H4" s="46" t="s">
        <v>14</v>
      </c>
      <c r="I4" s="47" t="s">
        <v>12</v>
      </c>
      <c r="J4" s="46" t="s">
        <v>13</v>
      </c>
      <c r="K4" s="215"/>
      <c r="L4" s="215"/>
      <c r="M4" s="215"/>
      <c r="N4" s="215"/>
      <c r="O4" s="215"/>
      <c r="P4" s="46" t="s">
        <v>1074</v>
      </c>
      <c r="Q4" s="46" t="s">
        <v>15</v>
      </c>
      <c r="R4" s="46" t="s">
        <v>16</v>
      </c>
      <c r="S4" s="47" t="s">
        <v>17</v>
      </c>
      <c r="T4" s="47" t="s">
        <v>18</v>
      </c>
      <c r="U4" s="47" t="s">
        <v>19</v>
      </c>
      <c r="V4" s="47" t="s">
        <v>20</v>
      </c>
      <c r="W4" s="47" t="s">
        <v>21</v>
      </c>
      <c r="X4" s="47" t="s">
        <v>22</v>
      </c>
      <c r="Y4" s="47" t="s">
        <v>23</v>
      </c>
      <c r="Z4" s="47" t="s">
        <v>24</v>
      </c>
      <c r="AA4" s="47" t="s">
        <v>25</v>
      </c>
      <c r="AB4" s="47" t="s">
        <v>26</v>
      </c>
      <c r="AC4" s="47" t="s">
        <v>27</v>
      </c>
      <c r="AD4" s="47" t="s">
        <v>28</v>
      </c>
      <c r="AE4" s="47" t="s">
        <v>29</v>
      </c>
      <c r="AF4" s="47" t="s">
        <v>30</v>
      </c>
      <c r="AG4" s="47" t="s">
        <v>31</v>
      </c>
      <c r="AH4" s="47" t="s">
        <v>32</v>
      </c>
      <c r="AI4" s="47" t="s">
        <v>33</v>
      </c>
      <c r="AJ4" s="47" t="s">
        <v>34</v>
      </c>
      <c r="AK4" s="47" t="s">
        <v>35</v>
      </c>
      <c r="AL4" s="47" t="s">
        <v>36</v>
      </c>
      <c r="AM4" s="47" t="s">
        <v>37</v>
      </c>
      <c r="AN4" s="47" t="s">
        <v>38</v>
      </c>
      <c r="AO4" s="47" t="s">
        <v>39</v>
      </c>
      <c r="AP4" s="47" t="s">
        <v>40</v>
      </c>
      <c r="AQ4" s="47" t="s">
        <v>41</v>
      </c>
      <c r="AR4" s="47" t="s">
        <v>42</v>
      </c>
      <c r="AS4" s="47" t="s">
        <v>43</v>
      </c>
      <c r="AT4" s="47" t="s">
        <v>44</v>
      </c>
      <c r="AU4" s="47" t="s">
        <v>45</v>
      </c>
      <c r="AV4" s="47" t="s">
        <v>46</v>
      </c>
      <c r="AW4" s="47" t="s">
        <v>47</v>
      </c>
      <c r="AX4" s="47" t="s">
        <v>48</v>
      </c>
      <c r="AY4" s="47" t="s">
        <v>49</v>
      </c>
      <c r="AZ4" s="47" t="s">
        <v>50</v>
      </c>
      <c r="BA4" s="47" t="s">
        <v>51</v>
      </c>
      <c r="BB4" s="47" t="s">
        <v>52</v>
      </c>
      <c r="BC4" s="47" t="s">
        <v>53</v>
      </c>
      <c r="BD4" s="47" t="s">
        <v>54</v>
      </c>
      <c r="BE4" s="47" t="s">
        <v>55</v>
      </c>
      <c r="BF4" s="47" t="s">
        <v>56</v>
      </c>
      <c r="BG4" s="47" t="s">
        <v>57</v>
      </c>
      <c r="BH4" s="47" t="s">
        <v>63</v>
      </c>
      <c r="BI4" s="47" t="s">
        <v>1100</v>
      </c>
      <c r="BJ4" s="216"/>
      <c r="BK4" s="215"/>
      <c r="BL4" s="215"/>
      <c r="BM4" s="215"/>
      <c r="BN4" s="75"/>
      <c r="BO4" s="75"/>
    </row>
    <row r="5" spans="1:67" x14ac:dyDescent="0.3">
      <c r="A5" s="76" t="s">
        <v>599</v>
      </c>
      <c r="B5" s="77" t="s">
        <v>600</v>
      </c>
      <c r="C5" s="76" t="s">
        <v>24</v>
      </c>
      <c r="D5" s="78">
        <f>SUM(D6:D13)</f>
        <v>144.52000000000001</v>
      </c>
      <c r="E5" s="78">
        <f t="shared" ref="E5:BH5" si="0">SUM(E6:E13)</f>
        <v>0</v>
      </c>
      <c r="F5" s="78">
        <f t="shared" si="0"/>
        <v>144.52000000000001</v>
      </c>
      <c r="G5" s="78">
        <f t="shared" si="0"/>
        <v>23.02</v>
      </c>
      <c r="H5" s="78">
        <f t="shared" si="0"/>
        <v>1.18</v>
      </c>
      <c r="I5" s="78">
        <f t="shared" si="0"/>
        <v>0</v>
      </c>
      <c r="J5" s="78">
        <f t="shared" si="0"/>
        <v>120.32000000000001</v>
      </c>
      <c r="K5" s="78">
        <f t="shared" si="0"/>
        <v>0</v>
      </c>
      <c r="L5" s="78">
        <f t="shared" si="0"/>
        <v>0</v>
      </c>
      <c r="M5" s="78"/>
      <c r="N5" s="78"/>
      <c r="O5" s="78"/>
      <c r="P5" s="78">
        <f t="shared" si="0"/>
        <v>1.18</v>
      </c>
      <c r="Q5" s="78">
        <f t="shared" si="0"/>
        <v>0</v>
      </c>
      <c r="R5" s="78">
        <f t="shared" si="0"/>
        <v>0</v>
      </c>
      <c r="S5" s="78">
        <f t="shared" si="0"/>
        <v>0</v>
      </c>
      <c r="T5" s="78">
        <f t="shared" si="0"/>
        <v>0</v>
      </c>
      <c r="U5" s="78">
        <f t="shared" si="0"/>
        <v>0</v>
      </c>
      <c r="V5" s="78">
        <f t="shared" si="0"/>
        <v>0</v>
      </c>
      <c r="W5" s="78">
        <f t="shared" si="0"/>
        <v>0</v>
      </c>
      <c r="X5" s="78">
        <f t="shared" si="0"/>
        <v>49.05</v>
      </c>
      <c r="Y5" s="78">
        <f t="shared" si="0"/>
        <v>0</v>
      </c>
      <c r="Z5" s="78">
        <f t="shared" si="0"/>
        <v>58.85</v>
      </c>
      <c r="AA5" s="78">
        <f t="shared" si="0"/>
        <v>0</v>
      </c>
      <c r="AB5" s="78">
        <f t="shared" si="0"/>
        <v>2.2499999999999987</v>
      </c>
      <c r="AC5" s="78">
        <f t="shared" si="0"/>
        <v>0</v>
      </c>
      <c r="AD5" s="78">
        <f t="shared" si="0"/>
        <v>0</v>
      </c>
      <c r="AE5" s="78">
        <f t="shared" si="0"/>
        <v>0</v>
      </c>
      <c r="AF5" s="78">
        <f t="shared" si="0"/>
        <v>0</v>
      </c>
      <c r="AG5" s="78">
        <f t="shared" si="0"/>
        <v>0</v>
      </c>
      <c r="AH5" s="78">
        <f t="shared" si="0"/>
        <v>0</v>
      </c>
      <c r="AI5" s="78">
        <f t="shared" si="0"/>
        <v>0</v>
      </c>
      <c r="AJ5" s="78">
        <f t="shared" si="0"/>
        <v>0</v>
      </c>
      <c r="AK5" s="78">
        <f t="shared" si="0"/>
        <v>0</v>
      </c>
      <c r="AL5" s="78">
        <f t="shared" si="0"/>
        <v>0</v>
      </c>
      <c r="AM5" s="78">
        <f t="shared" si="0"/>
        <v>0</v>
      </c>
      <c r="AN5" s="78">
        <f t="shared" si="0"/>
        <v>0</v>
      </c>
      <c r="AO5" s="78">
        <f t="shared" si="0"/>
        <v>0</v>
      </c>
      <c r="AP5" s="78">
        <f t="shared" si="0"/>
        <v>0</v>
      </c>
      <c r="AQ5" s="78">
        <f t="shared" si="0"/>
        <v>0</v>
      </c>
      <c r="AR5" s="78">
        <f t="shared" si="0"/>
        <v>0</v>
      </c>
      <c r="AS5" s="78">
        <f t="shared" si="0"/>
        <v>0</v>
      </c>
      <c r="AT5" s="78">
        <f t="shared" si="0"/>
        <v>0</v>
      </c>
      <c r="AU5" s="78">
        <f t="shared" si="0"/>
        <v>0</v>
      </c>
      <c r="AV5" s="78">
        <f t="shared" si="0"/>
        <v>0</v>
      </c>
      <c r="AW5" s="78">
        <f t="shared" si="0"/>
        <v>0</v>
      </c>
      <c r="AX5" s="78">
        <f t="shared" si="0"/>
        <v>0</v>
      </c>
      <c r="AY5" s="78">
        <f t="shared" si="0"/>
        <v>0</v>
      </c>
      <c r="AZ5" s="78">
        <f t="shared" si="0"/>
        <v>0</v>
      </c>
      <c r="BA5" s="78">
        <f t="shared" si="0"/>
        <v>0</v>
      </c>
      <c r="BB5" s="78">
        <f t="shared" si="0"/>
        <v>0</v>
      </c>
      <c r="BC5" s="78">
        <f t="shared" si="0"/>
        <v>0</v>
      </c>
      <c r="BD5" s="78">
        <f t="shared" si="0"/>
        <v>0</v>
      </c>
      <c r="BE5" s="78">
        <f t="shared" si="0"/>
        <v>10.17</v>
      </c>
      <c r="BF5" s="78">
        <f t="shared" si="0"/>
        <v>0</v>
      </c>
      <c r="BG5" s="78">
        <f t="shared" si="0"/>
        <v>0</v>
      </c>
      <c r="BH5" s="78">
        <f t="shared" si="0"/>
        <v>0</v>
      </c>
      <c r="BI5" s="78"/>
      <c r="BJ5" s="78">
        <f t="shared" ref="BJ5:BJ35" si="1">D5-E5-F5</f>
        <v>0</v>
      </c>
      <c r="BK5" s="73"/>
      <c r="BL5" s="73">
        <v>4</v>
      </c>
      <c r="BM5" s="79">
        <f t="shared" ref="BM5:BM67" si="2">J5-SUM(V5:BH5)</f>
        <v>0</v>
      </c>
      <c r="BN5" s="75"/>
      <c r="BO5" s="75"/>
    </row>
    <row r="6" spans="1:67" s="4" customFormat="1" ht="31.2" x14ac:dyDescent="0.3">
      <c r="A6" s="48">
        <v>1</v>
      </c>
      <c r="B6" s="42" t="s">
        <v>453</v>
      </c>
      <c r="C6" s="43" t="s">
        <v>24</v>
      </c>
      <c r="D6" s="41">
        <v>1.4</v>
      </c>
      <c r="E6" s="41"/>
      <c r="F6" s="41">
        <v>1.4</v>
      </c>
      <c r="G6" s="41">
        <v>0</v>
      </c>
      <c r="H6" s="41"/>
      <c r="I6" s="39"/>
      <c r="J6" s="41">
        <v>1.4</v>
      </c>
      <c r="K6" s="42" t="s">
        <v>913</v>
      </c>
      <c r="L6" s="117" t="s">
        <v>67</v>
      </c>
      <c r="M6" s="43">
        <v>14</v>
      </c>
      <c r="N6" s="43">
        <v>1</v>
      </c>
      <c r="O6" s="43"/>
      <c r="P6" s="48"/>
      <c r="Q6" s="115"/>
      <c r="R6" s="115"/>
      <c r="S6" s="115"/>
      <c r="T6" s="115"/>
      <c r="U6" s="115"/>
      <c r="V6" s="115"/>
      <c r="W6" s="115"/>
      <c r="X6" s="115"/>
      <c r="Y6" s="115"/>
      <c r="Z6" s="115">
        <v>1.4</v>
      </c>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78">
        <f t="shared" si="1"/>
        <v>0</v>
      </c>
      <c r="BK6" s="115"/>
      <c r="BL6" s="44">
        <v>4</v>
      </c>
      <c r="BM6" s="79">
        <f t="shared" si="2"/>
        <v>0</v>
      </c>
      <c r="BN6" s="75"/>
      <c r="BO6" s="75"/>
    </row>
    <row r="7" spans="1:67" s="4" customFormat="1" ht="84" customHeight="1" x14ac:dyDescent="0.3">
      <c r="A7" s="48">
        <v>2</v>
      </c>
      <c r="B7" s="42" t="s">
        <v>450</v>
      </c>
      <c r="C7" s="43" t="s">
        <v>24</v>
      </c>
      <c r="D7" s="41">
        <v>76</v>
      </c>
      <c r="E7" s="41"/>
      <c r="F7" s="41">
        <v>76</v>
      </c>
      <c r="G7" s="41"/>
      <c r="H7" s="41"/>
      <c r="I7" s="41"/>
      <c r="J7" s="41">
        <v>76</v>
      </c>
      <c r="K7" s="42" t="s">
        <v>93</v>
      </c>
      <c r="L7" s="42" t="s">
        <v>93</v>
      </c>
      <c r="M7" s="43">
        <v>1</v>
      </c>
      <c r="N7" s="43">
        <v>2</v>
      </c>
      <c r="O7" s="43"/>
      <c r="P7" s="43"/>
      <c r="Q7" s="106"/>
      <c r="R7" s="106"/>
      <c r="S7" s="106"/>
      <c r="T7" s="106"/>
      <c r="U7" s="106"/>
      <c r="V7" s="106"/>
      <c r="W7" s="106"/>
      <c r="X7" s="106">
        <v>24.45</v>
      </c>
      <c r="Y7" s="106"/>
      <c r="Z7" s="106">
        <v>45.35</v>
      </c>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v>6.2</v>
      </c>
      <c r="BF7" s="106"/>
      <c r="BG7" s="106"/>
      <c r="BH7" s="106"/>
      <c r="BI7" s="106"/>
      <c r="BJ7" s="78">
        <f t="shared" si="1"/>
        <v>0</v>
      </c>
      <c r="BK7" s="106"/>
      <c r="BL7" s="44">
        <v>4</v>
      </c>
      <c r="BM7" s="79">
        <f t="shared" si="2"/>
        <v>0</v>
      </c>
      <c r="BN7" s="75"/>
      <c r="BO7" s="75"/>
    </row>
    <row r="8" spans="1:67" s="4" customFormat="1" ht="38.25" customHeight="1" x14ac:dyDescent="0.3">
      <c r="A8" s="48">
        <v>3</v>
      </c>
      <c r="B8" s="50" t="s">
        <v>451</v>
      </c>
      <c r="C8" s="39" t="s">
        <v>24</v>
      </c>
      <c r="D8" s="39">
        <v>12.7</v>
      </c>
      <c r="E8" s="39"/>
      <c r="F8" s="39">
        <v>12.7</v>
      </c>
      <c r="G8" s="39">
        <v>9.0500000000000007</v>
      </c>
      <c r="H8" s="39"/>
      <c r="I8" s="39"/>
      <c r="J8" s="39">
        <v>3.6499999999999986</v>
      </c>
      <c r="K8" s="50" t="s">
        <v>174</v>
      </c>
      <c r="L8" s="50" t="s">
        <v>154</v>
      </c>
      <c r="M8" s="99">
        <v>32</v>
      </c>
      <c r="N8" s="99">
        <v>3</v>
      </c>
      <c r="O8" s="99"/>
      <c r="P8" s="39"/>
      <c r="Q8" s="39"/>
      <c r="R8" s="39"/>
      <c r="S8" s="39"/>
      <c r="T8" s="39"/>
      <c r="U8" s="39"/>
      <c r="V8" s="39"/>
      <c r="W8" s="39"/>
      <c r="X8" s="39"/>
      <c r="Y8" s="39"/>
      <c r="Z8" s="39"/>
      <c r="AA8" s="39"/>
      <c r="AB8" s="39">
        <v>2.2499999999999987</v>
      </c>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v>1.4</v>
      </c>
      <c r="BF8" s="39"/>
      <c r="BG8" s="39"/>
      <c r="BH8" s="39"/>
      <c r="BI8" s="39"/>
      <c r="BJ8" s="78">
        <f t="shared" si="1"/>
        <v>0</v>
      </c>
      <c r="BK8" s="39"/>
      <c r="BL8" s="44">
        <v>4</v>
      </c>
      <c r="BM8" s="79">
        <f t="shared" si="2"/>
        <v>0</v>
      </c>
      <c r="BN8" s="75"/>
      <c r="BO8" s="75"/>
    </row>
    <row r="9" spans="1:67" s="4" customFormat="1" ht="37.5" customHeight="1" x14ac:dyDescent="0.3">
      <c r="A9" s="48">
        <v>4</v>
      </c>
      <c r="B9" s="42" t="s">
        <v>254</v>
      </c>
      <c r="C9" s="48" t="s">
        <v>24</v>
      </c>
      <c r="D9" s="39">
        <v>2.5299999999999998</v>
      </c>
      <c r="E9" s="39"/>
      <c r="F9" s="39">
        <v>2.5299999999999998</v>
      </c>
      <c r="G9" s="39"/>
      <c r="H9" s="39"/>
      <c r="I9" s="39"/>
      <c r="J9" s="39">
        <v>2.5299999999999998</v>
      </c>
      <c r="K9" s="42" t="s">
        <v>428</v>
      </c>
      <c r="L9" s="42" t="s">
        <v>247</v>
      </c>
      <c r="M9" s="48">
        <v>32</v>
      </c>
      <c r="N9" s="48">
        <v>4</v>
      </c>
      <c r="O9" s="48"/>
      <c r="P9" s="84"/>
      <c r="Q9" s="84"/>
      <c r="R9" s="84"/>
      <c r="S9" s="84"/>
      <c r="T9" s="84"/>
      <c r="U9" s="84"/>
      <c r="V9" s="84"/>
      <c r="W9" s="84"/>
      <c r="X9" s="84">
        <v>2.5299999999999998</v>
      </c>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78">
        <f t="shared" si="1"/>
        <v>0</v>
      </c>
      <c r="BK9" s="84"/>
      <c r="BL9" s="44">
        <v>4</v>
      </c>
      <c r="BM9" s="79">
        <f t="shared" si="2"/>
        <v>0</v>
      </c>
      <c r="BN9" s="75"/>
      <c r="BO9" s="75"/>
    </row>
    <row r="10" spans="1:67" s="4" customFormat="1" ht="78" x14ac:dyDescent="0.3">
      <c r="A10" s="48">
        <v>5</v>
      </c>
      <c r="B10" s="42" t="s">
        <v>452</v>
      </c>
      <c r="C10" s="43" t="s">
        <v>24</v>
      </c>
      <c r="D10" s="41">
        <v>22.07</v>
      </c>
      <c r="E10" s="41"/>
      <c r="F10" s="41">
        <v>22.07</v>
      </c>
      <c r="G10" s="39"/>
      <c r="H10" s="39"/>
      <c r="I10" s="39"/>
      <c r="J10" s="39">
        <v>22.07</v>
      </c>
      <c r="K10" s="42" t="s">
        <v>950</v>
      </c>
      <c r="L10" s="42" t="s">
        <v>280</v>
      </c>
      <c r="M10" s="43">
        <v>16</v>
      </c>
      <c r="N10" s="43">
        <v>5</v>
      </c>
      <c r="O10" s="43"/>
      <c r="P10" s="84"/>
      <c r="Q10" s="84"/>
      <c r="R10" s="84"/>
      <c r="S10" s="84"/>
      <c r="T10" s="84"/>
      <c r="U10" s="84"/>
      <c r="V10" s="84"/>
      <c r="W10" s="84"/>
      <c r="X10" s="84">
        <v>22.07</v>
      </c>
      <c r="Y10" s="84"/>
      <c r="Z10" s="84"/>
      <c r="AA10" s="84"/>
      <c r="AB10" s="44"/>
      <c r="AC10" s="84"/>
      <c r="AD10" s="84"/>
      <c r="AE10" s="84"/>
      <c r="AF10" s="84"/>
      <c r="AG10" s="118"/>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78">
        <f t="shared" si="1"/>
        <v>0</v>
      </c>
      <c r="BK10" s="84"/>
      <c r="BL10" s="44">
        <v>4</v>
      </c>
      <c r="BM10" s="79">
        <f t="shared" si="2"/>
        <v>0</v>
      </c>
      <c r="BN10" s="75"/>
      <c r="BO10" s="75"/>
    </row>
    <row r="11" spans="1:67" s="4" customFormat="1" ht="31.2" x14ac:dyDescent="0.3">
      <c r="A11" s="48">
        <v>6</v>
      </c>
      <c r="B11" s="42" t="s">
        <v>453</v>
      </c>
      <c r="C11" s="48" t="s">
        <v>24</v>
      </c>
      <c r="D11" s="39">
        <v>11.97</v>
      </c>
      <c r="E11" s="39"/>
      <c r="F11" s="39">
        <v>11.97</v>
      </c>
      <c r="G11" s="39">
        <f>5.27-1.55</f>
        <v>3.7199999999999998</v>
      </c>
      <c r="H11" s="39"/>
      <c r="I11" s="39"/>
      <c r="J11" s="39">
        <v>8.25</v>
      </c>
      <c r="K11" s="42" t="s">
        <v>951</v>
      </c>
      <c r="L11" s="42" t="s">
        <v>280</v>
      </c>
      <c r="M11" s="48">
        <v>27</v>
      </c>
      <c r="N11" s="48">
        <v>6</v>
      </c>
      <c r="O11" s="48"/>
      <c r="P11" s="84"/>
      <c r="Q11" s="84"/>
      <c r="R11" s="84"/>
      <c r="S11" s="84"/>
      <c r="T11" s="84"/>
      <c r="U11" s="84"/>
      <c r="V11" s="84"/>
      <c r="W11" s="84"/>
      <c r="X11" s="84"/>
      <c r="Y11" s="84"/>
      <c r="Z11" s="84">
        <v>8.25</v>
      </c>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78">
        <f t="shared" si="1"/>
        <v>0</v>
      </c>
      <c r="BK11" s="84"/>
      <c r="BL11" s="44">
        <v>4</v>
      </c>
      <c r="BM11" s="79">
        <f t="shared" si="2"/>
        <v>0</v>
      </c>
      <c r="BN11" s="75"/>
      <c r="BO11" s="75"/>
    </row>
    <row r="12" spans="1:67" s="4" customFormat="1" ht="46.8" x14ac:dyDescent="0.3">
      <c r="A12" s="48">
        <v>7</v>
      </c>
      <c r="B12" s="42" t="s">
        <v>453</v>
      </c>
      <c r="C12" s="48" t="s">
        <v>24</v>
      </c>
      <c r="D12" s="39">
        <f>6.34+3.91</f>
        <v>10.25</v>
      </c>
      <c r="E12" s="39"/>
      <c r="F12" s="39">
        <f>6.34+3.91</f>
        <v>10.25</v>
      </c>
      <c r="G12" s="39">
        <v>10.25</v>
      </c>
      <c r="H12" s="39"/>
      <c r="I12" s="39"/>
      <c r="J12" s="39">
        <f>SUM(P12:BE12)</f>
        <v>0</v>
      </c>
      <c r="K12" s="42" t="s">
        <v>394</v>
      </c>
      <c r="L12" s="42" t="s">
        <v>395</v>
      </c>
      <c r="M12" s="43">
        <v>5</v>
      </c>
      <c r="N12" s="43">
        <v>7</v>
      </c>
      <c r="O12" s="43"/>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8">
        <f t="shared" si="1"/>
        <v>0</v>
      </c>
      <c r="BK12" s="84"/>
      <c r="BL12" s="44">
        <v>4</v>
      </c>
      <c r="BM12" s="79">
        <f t="shared" si="2"/>
        <v>0</v>
      </c>
      <c r="BN12" s="75"/>
      <c r="BO12" s="75"/>
    </row>
    <row r="13" spans="1:67" s="4" customFormat="1" ht="31.2" x14ac:dyDescent="0.3">
      <c r="A13" s="48">
        <v>8</v>
      </c>
      <c r="B13" s="42" t="s">
        <v>453</v>
      </c>
      <c r="C13" s="43" t="s">
        <v>24</v>
      </c>
      <c r="D13" s="41">
        <v>7.6</v>
      </c>
      <c r="E13" s="41"/>
      <c r="F13" s="41">
        <v>7.6</v>
      </c>
      <c r="G13" s="41">
        <v>0</v>
      </c>
      <c r="H13" s="41">
        <v>1.18</v>
      </c>
      <c r="I13" s="41"/>
      <c r="J13" s="41">
        <v>6.42</v>
      </c>
      <c r="K13" s="42" t="s">
        <v>952</v>
      </c>
      <c r="L13" s="42" t="s">
        <v>688</v>
      </c>
      <c r="M13" s="43">
        <v>6</v>
      </c>
      <c r="N13" s="43">
        <v>8</v>
      </c>
      <c r="O13" s="43"/>
      <c r="P13" s="97">
        <v>1.18</v>
      </c>
      <c r="Q13" s="97"/>
      <c r="R13" s="97"/>
      <c r="S13" s="97"/>
      <c r="T13" s="97"/>
      <c r="U13" s="97"/>
      <c r="V13" s="97"/>
      <c r="W13" s="97"/>
      <c r="X13" s="97"/>
      <c r="Y13" s="97"/>
      <c r="Z13" s="97">
        <f>0.95+2.9</f>
        <v>3.8499999999999996</v>
      </c>
      <c r="AA13" s="97"/>
      <c r="AB13" s="97"/>
      <c r="AC13" s="97"/>
      <c r="AD13" s="97"/>
      <c r="AE13" s="97"/>
      <c r="AF13" s="97"/>
      <c r="AG13" s="100"/>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v>2.57</v>
      </c>
      <c r="BF13" s="97"/>
      <c r="BG13" s="97"/>
      <c r="BH13" s="97"/>
      <c r="BI13" s="97"/>
      <c r="BJ13" s="78">
        <f t="shared" si="1"/>
        <v>0</v>
      </c>
      <c r="BK13" s="97" t="s">
        <v>715</v>
      </c>
      <c r="BL13" s="97">
        <v>4</v>
      </c>
      <c r="BM13" s="79">
        <f t="shared" si="2"/>
        <v>0</v>
      </c>
      <c r="BN13" s="75"/>
      <c r="BO13" s="75"/>
    </row>
    <row r="14" spans="1:67" x14ac:dyDescent="0.3">
      <c r="A14" s="76" t="s">
        <v>601</v>
      </c>
      <c r="B14" s="77" t="s">
        <v>236</v>
      </c>
      <c r="C14" s="80" t="s">
        <v>25</v>
      </c>
      <c r="D14" s="81">
        <f>SUM(D15:D17)</f>
        <v>102.53</v>
      </c>
      <c r="E14" s="81">
        <f t="shared" ref="E14:BH14" si="3">SUM(E15:E17)</f>
        <v>0</v>
      </c>
      <c r="F14" s="81">
        <f t="shared" si="3"/>
        <v>102.53</v>
      </c>
      <c r="G14" s="81">
        <f t="shared" si="3"/>
        <v>0</v>
      </c>
      <c r="H14" s="81">
        <f t="shared" si="3"/>
        <v>0</v>
      </c>
      <c r="I14" s="81">
        <f t="shared" si="3"/>
        <v>0</v>
      </c>
      <c r="J14" s="81">
        <f t="shared" si="3"/>
        <v>102.53</v>
      </c>
      <c r="K14" s="82">
        <f t="shared" si="3"/>
        <v>0</v>
      </c>
      <c r="L14" s="82">
        <f t="shared" si="3"/>
        <v>0</v>
      </c>
      <c r="M14" s="83"/>
      <c r="N14" s="83"/>
      <c r="O14" s="83"/>
      <c r="P14" s="83">
        <f t="shared" si="3"/>
        <v>0</v>
      </c>
      <c r="Q14" s="83">
        <f t="shared" si="3"/>
        <v>0</v>
      </c>
      <c r="R14" s="83">
        <f t="shared" si="3"/>
        <v>0</v>
      </c>
      <c r="S14" s="83">
        <f t="shared" si="3"/>
        <v>0</v>
      </c>
      <c r="T14" s="83">
        <f t="shared" si="3"/>
        <v>0</v>
      </c>
      <c r="U14" s="83">
        <f t="shared" si="3"/>
        <v>0</v>
      </c>
      <c r="V14" s="83">
        <f t="shared" si="3"/>
        <v>0</v>
      </c>
      <c r="W14" s="83">
        <f t="shared" si="3"/>
        <v>0</v>
      </c>
      <c r="X14" s="83">
        <f t="shared" si="3"/>
        <v>97.31</v>
      </c>
      <c r="Y14" s="83">
        <f t="shared" si="3"/>
        <v>0</v>
      </c>
      <c r="Z14" s="83">
        <f t="shared" si="3"/>
        <v>0</v>
      </c>
      <c r="AA14" s="83">
        <f t="shared" si="3"/>
        <v>0</v>
      </c>
      <c r="AB14" s="83">
        <f t="shared" si="3"/>
        <v>0</v>
      </c>
      <c r="AC14" s="83">
        <f t="shared" si="3"/>
        <v>0</v>
      </c>
      <c r="AD14" s="83">
        <f t="shared" si="3"/>
        <v>0</v>
      </c>
      <c r="AE14" s="83">
        <f t="shared" si="3"/>
        <v>0</v>
      </c>
      <c r="AF14" s="83">
        <f t="shared" si="3"/>
        <v>0</v>
      </c>
      <c r="AG14" s="83">
        <f t="shared" si="3"/>
        <v>0</v>
      </c>
      <c r="AH14" s="83">
        <f t="shared" si="3"/>
        <v>0</v>
      </c>
      <c r="AI14" s="83">
        <f t="shared" si="3"/>
        <v>0</v>
      </c>
      <c r="AJ14" s="83">
        <f t="shared" si="3"/>
        <v>0</v>
      </c>
      <c r="AK14" s="83">
        <f t="shared" si="3"/>
        <v>0</v>
      </c>
      <c r="AL14" s="83">
        <f t="shared" si="3"/>
        <v>0</v>
      </c>
      <c r="AM14" s="83">
        <f t="shared" si="3"/>
        <v>0</v>
      </c>
      <c r="AN14" s="83">
        <f t="shared" si="3"/>
        <v>0</v>
      </c>
      <c r="AO14" s="83">
        <f t="shared" si="3"/>
        <v>0</v>
      </c>
      <c r="AP14" s="83">
        <f t="shared" si="3"/>
        <v>0</v>
      </c>
      <c r="AQ14" s="83">
        <f t="shared" si="3"/>
        <v>0</v>
      </c>
      <c r="AR14" s="83">
        <f t="shared" si="3"/>
        <v>0</v>
      </c>
      <c r="AS14" s="83">
        <f t="shared" si="3"/>
        <v>0</v>
      </c>
      <c r="AT14" s="83">
        <f t="shared" si="3"/>
        <v>0</v>
      </c>
      <c r="AU14" s="83">
        <f t="shared" si="3"/>
        <v>0</v>
      </c>
      <c r="AV14" s="83">
        <f t="shared" si="3"/>
        <v>0</v>
      </c>
      <c r="AW14" s="83">
        <f t="shared" si="3"/>
        <v>0</v>
      </c>
      <c r="AX14" s="83">
        <f t="shared" si="3"/>
        <v>0</v>
      </c>
      <c r="AY14" s="83">
        <f t="shared" si="3"/>
        <v>0</v>
      </c>
      <c r="AZ14" s="83">
        <f t="shared" si="3"/>
        <v>0</v>
      </c>
      <c r="BA14" s="83">
        <f t="shared" si="3"/>
        <v>0</v>
      </c>
      <c r="BB14" s="83">
        <f t="shared" si="3"/>
        <v>0</v>
      </c>
      <c r="BC14" s="83">
        <f t="shared" si="3"/>
        <v>0</v>
      </c>
      <c r="BD14" s="83">
        <f t="shared" si="3"/>
        <v>0</v>
      </c>
      <c r="BE14" s="83">
        <f t="shared" si="3"/>
        <v>5.22</v>
      </c>
      <c r="BF14" s="83">
        <f t="shared" si="3"/>
        <v>0</v>
      </c>
      <c r="BG14" s="83">
        <f t="shared" si="3"/>
        <v>0</v>
      </c>
      <c r="BH14" s="83">
        <f t="shared" si="3"/>
        <v>0</v>
      </c>
      <c r="BI14" s="83"/>
      <c r="BJ14" s="78">
        <f t="shared" si="1"/>
        <v>0</v>
      </c>
      <c r="BK14" s="84"/>
      <c r="BL14" s="44">
        <v>5</v>
      </c>
      <c r="BM14" s="79">
        <f t="shared" si="2"/>
        <v>0</v>
      </c>
      <c r="BN14" s="75"/>
      <c r="BO14" s="75"/>
    </row>
    <row r="15" spans="1:67" s="4" customFormat="1" x14ac:dyDescent="0.3">
      <c r="A15" s="48">
        <v>1</v>
      </c>
      <c r="B15" s="42" t="s">
        <v>457</v>
      </c>
      <c r="C15" s="43" t="s">
        <v>25</v>
      </c>
      <c r="D15" s="41">
        <v>0.13</v>
      </c>
      <c r="E15" s="41"/>
      <c r="F15" s="41">
        <v>0.13</v>
      </c>
      <c r="G15" s="41"/>
      <c r="H15" s="41"/>
      <c r="I15" s="39"/>
      <c r="J15" s="41">
        <f>SUM(V15:BG15)</f>
        <v>0.13</v>
      </c>
      <c r="K15" s="42" t="s">
        <v>895</v>
      </c>
      <c r="L15" s="42" t="s">
        <v>58</v>
      </c>
      <c r="M15" s="43">
        <v>31</v>
      </c>
      <c r="N15" s="43">
        <v>9</v>
      </c>
      <c r="O15" s="43"/>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v>0.13</v>
      </c>
      <c r="BF15" s="84"/>
      <c r="BG15" s="84"/>
      <c r="BH15" s="84"/>
      <c r="BI15" s="84"/>
      <c r="BJ15" s="78">
        <f t="shared" si="1"/>
        <v>0</v>
      </c>
      <c r="BK15" s="84"/>
      <c r="BL15" s="44">
        <v>5</v>
      </c>
      <c r="BM15" s="79">
        <f t="shared" si="2"/>
        <v>0</v>
      </c>
      <c r="BN15" s="75"/>
      <c r="BO15" s="75"/>
    </row>
    <row r="16" spans="1:67" s="4" customFormat="1" x14ac:dyDescent="0.3">
      <c r="A16" s="48">
        <v>2</v>
      </c>
      <c r="B16" s="42" t="s">
        <v>457</v>
      </c>
      <c r="C16" s="48" t="s">
        <v>25</v>
      </c>
      <c r="D16" s="39">
        <v>5.09</v>
      </c>
      <c r="E16" s="39"/>
      <c r="F16" s="39">
        <v>5.09</v>
      </c>
      <c r="G16" s="39"/>
      <c r="H16" s="39"/>
      <c r="I16" s="39"/>
      <c r="J16" s="39">
        <v>5.09</v>
      </c>
      <c r="K16" s="42" t="s">
        <v>953</v>
      </c>
      <c r="L16" s="42" t="s">
        <v>233</v>
      </c>
      <c r="M16" s="44">
        <v>13</v>
      </c>
      <c r="N16" s="44">
        <v>10</v>
      </c>
      <c r="O16" s="4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f>5.5-0.41</f>
        <v>5.09</v>
      </c>
      <c r="BF16" s="84"/>
      <c r="BG16" s="84"/>
      <c r="BH16" s="84"/>
      <c r="BI16" s="84"/>
      <c r="BJ16" s="78">
        <f t="shared" si="1"/>
        <v>0</v>
      </c>
      <c r="BK16" s="97"/>
      <c r="BL16" s="44">
        <v>5</v>
      </c>
      <c r="BM16" s="79">
        <f t="shared" si="2"/>
        <v>0</v>
      </c>
      <c r="BN16" s="75"/>
      <c r="BO16" s="75"/>
    </row>
    <row r="17" spans="1:67" s="4" customFormat="1" ht="46.8" x14ac:dyDescent="0.3">
      <c r="A17" s="48">
        <v>3</v>
      </c>
      <c r="B17" s="42" t="s">
        <v>457</v>
      </c>
      <c r="C17" s="43" t="s">
        <v>25</v>
      </c>
      <c r="D17" s="39">
        <v>97.31</v>
      </c>
      <c r="E17" s="39"/>
      <c r="F17" s="39">
        <v>97.31</v>
      </c>
      <c r="G17" s="39">
        <v>0</v>
      </c>
      <c r="H17" s="39">
        <v>0</v>
      </c>
      <c r="I17" s="39"/>
      <c r="J17" s="39">
        <v>97.31</v>
      </c>
      <c r="K17" s="42" t="s">
        <v>954</v>
      </c>
      <c r="L17" s="42" t="s">
        <v>247</v>
      </c>
      <c r="M17" s="43">
        <v>31</v>
      </c>
      <c r="N17" s="43">
        <v>11</v>
      </c>
      <c r="O17" s="43"/>
      <c r="P17" s="84"/>
      <c r="Q17" s="84"/>
      <c r="R17" s="84"/>
      <c r="S17" s="84"/>
      <c r="T17" s="84"/>
      <c r="U17" s="84"/>
      <c r="V17" s="84"/>
      <c r="W17" s="84"/>
      <c r="X17" s="84">
        <v>97.31</v>
      </c>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78">
        <f t="shared" si="1"/>
        <v>0</v>
      </c>
      <c r="BK17" s="84"/>
      <c r="BL17" s="44">
        <v>5</v>
      </c>
      <c r="BM17" s="79">
        <f t="shared" si="2"/>
        <v>0</v>
      </c>
      <c r="BN17" s="75"/>
      <c r="BO17" s="75"/>
    </row>
    <row r="18" spans="1:67" x14ac:dyDescent="0.3">
      <c r="A18" s="76" t="s">
        <v>602</v>
      </c>
      <c r="B18" s="77" t="s">
        <v>603</v>
      </c>
      <c r="C18" s="76" t="s">
        <v>20</v>
      </c>
      <c r="D18" s="81">
        <f t="shared" ref="D18:L18" si="4">SUM(D19:D24)</f>
        <v>193.07</v>
      </c>
      <c r="E18" s="81">
        <f t="shared" si="4"/>
        <v>5</v>
      </c>
      <c r="F18" s="81">
        <f t="shared" si="4"/>
        <v>188.07</v>
      </c>
      <c r="G18" s="81">
        <f t="shared" si="4"/>
        <v>0</v>
      </c>
      <c r="H18" s="81">
        <f t="shared" si="4"/>
        <v>20.65</v>
      </c>
      <c r="I18" s="81">
        <f t="shared" si="4"/>
        <v>0</v>
      </c>
      <c r="J18" s="81">
        <f t="shared" si="4"/>
        <v>167.42</v>
      </c>
      <c r="K18" s="82">
        <f t="shared" si="4"/>
        <v>0</v>
      </c>
      <c r="L18" s="82">
        <f t="shared" si="4"/>
        <v>0</v>
      </c>
      <c r="M18" s="83"/>
      <c r="N18" s="83"/>
      <c r="O18" s="83"/>
      <c r="P18" s="83">
        <f t="shared" ref="P18:BH18" si="5">SUM(P19:P24)</f>
        <v>0</v>
      </c>
      <c r="Q18" s="83">
        <f t="shared" si="5"/>
        <v>0</v>
      </c>
      <c r="R18" s="83">
        <f t="shared" si="5"/>
        <v>0</v>
      </c>
      <c r="S18" s="83">
        <f t="shared" si="5"/>
        <v>0</v>
      </c>
      <c r="T18" s="83">
        <f t="shared" si="5"/>
        <v>0</v>
      </c>
      <c r="U18" s="83">
        <f t="shared" si="5"/>
        <v>0</v>
      </c>
      <c r="V18" s="83">
        <f t="shared" si="5"/>
        <v>0</v>
      </c>
      <c r="W18" s="83">
        <f t="shared" si="5"/>
        <v>0</v>
      </c>
      <c r="X18" s="83">
        <f t="shared" si="5"/>
        <v>37.74</v>
      </c>
      <c r="Y18" s="83">
        <f t="shared" si="5"/>
        <v>0</v>
      </c>
      <c r="Z18" s="83">
        <f t="shared" si="5"/>
        <v>0</v>
      </c>
      <c r="AA18" s="83">
        <f t="shared" si="5"/>
        <v>0</v>
      </c>
      <c r="AB18" s="83">
        <f t="shared" si="5"/>
        <v>0</v>
      </c>
      <c r="AC18" s="83">
        <f t="shared" si="5"/>
        <v>0</v>
      </c>
      <c r="AD18" s="83">
        <f t="shared" si="5"/>
        <v>0</v>
      </c>
      <c r="AE18" s="83">
        <f t="shared" si="5"/>
        <v>0</v>
      </c>
      <c r="AF18" s="83">
        <f t="shared" si="5"/>
        <v>0</v>
      </c>
      <c r="AG18" s="83">
        <f t="shared" si="5"/>
        <v>0</v>
      </c>
      <c r="AH18" s="83">
        <f t="shared" si="5"/>
        <v>0</v>
      </c>
      <c r="AI18" s="83">
        <f t="shared" si="5"/>
        <v>0</v>
      </c>
      <c r="AJ18" s="83">
        <f t="shared" si="5"/>
        <v>0</v>
      </c>
      <c r="AK18" s="83">
        <f t="shared" si="5"/>
        <v>0</v>
      </c>
      <c r="AL18" s="83">
        <f t="shared" si="5"/>
        <v>0</v>
      </c>
      <c r="AM18" s="83">
        <f t="shared" si="5"/>
        <v>0</v>
      </c>
      <c r="AN18" s="83">
        <f t="shared" si="5"/>
        <v>0</v>
      </c>
      <c r="AO18" s="83">
        <f t="shared" si="5"/>
        <v>0</v>
      </c>
      <c r="AP18" s="83">
        <f t="shared" si="5"/>
        <v>0</v>
      </c>
      <c r="AQ18" s="83">
        <f t="shared" si="5"/>
        <v>0</v>
      </c>
      <c r="AR18" s="83">
        <f t="shared" si="5"/>
        <v>0</v>
      </c>
      <c r="AS18" s="83">
        <f t="shared" si="5"/>
        <v>0</v>
      </c>
      <c r="AT18" s="83">
        <f t="shared" si="5"/>
        <v>0</v>
      </c>
      <c r="AU18" s="83">
        <f t="shared" si="5"/>
        <v>0</v>
      </c>
      <c r="AV18" s="83">
        <f t="shared" si="5"/>
        <v>0</v>
      </c>
      <c r="AW18" s="83">
        <f t="shared" si="5"/>
        <v>0</v>
      </c>
      <c r="AX18" s="83">
        <f t="shared" si="5"/>
        <v>0</v>
      </c>
      <c r="AY18" s="83">
        <f t="shared" si="5"/>
        <v>0</v>
      </c>
      <c r="AZ18" s="83">
        <f t="shared" si="5"/>
        <v>0</v>
      </c>
      <c r="BA18" s="83">
        <f t="shared" si="5"/>
        <v>0</v>
      </c>
      <c r="BB18" s="83">
        <f t="shared" si="5"/>
        <v>0</v>
      </c>
      <c r="BC18" s="83">
        <f t="shared" si="5"/>
        <v>0</v>
      </c>
      <c r="BD18" s="83">
        <f t="shared" si="5"/>
        <v>0</v>
      </c>
      <c r="BE18" s="83">
        <f t="shared" si="5"/>
        <v>129.68</v>
      </c>
      <c r="BF18" s="83">
        <f t="shared" si="5"/>
        <v>0</v>
      </c>
      <c r="BG18" s="83">
        <f t="shared" si="5"/>
        <v>0</v>
      </c>
      <c r="BH18" s="83">
        <f t="shared" si="5"/>
        <v>0</v>
      </c>
      <c r="BI18" s="83"/>
      <c r="BJ18" s="78">
        <f t="shared" si="1"/>
        <v>0</v>
      </c>
      <c r="BK18" s="84"/>
      <c r="BL18" s="44">
        <v>9</v>
      </c>
      <c r="BM18" s="79">
        <f t="shared" si="2"/>
        <v>0</v>
      </c>
      <c r="BN18" s="75"/>
      <c r="BO18" s="75"/>
    </row>
    <row r="19" spans="1:67" s="4" customFormat="1" ht="86.25" customHeight="1" x14ac:dyDescent="0.3">
      <c r="A19" s="48">
        <v>1</v>
      </c>
      <c r="B19" s="42" t="s">
        <v>555</v>
      </c>
      <c r="C19" s="48" t="s">
        <v>20</v>
      </c>
      <c r="D19" s="41">
        <v>1.24</v>
      </c>
      <c r="E19" s="41"/>
      <c r="F19" s="41">
        <f>D19</f>
        <v>1.24</v>
      </c>
      <c r="G19" s="41">
        <v>0</v>
      </c>
      <c r="H19" s="41"/>
      <c r="I19" s="39"/>
      <c r="J19" s="41">
        <f>F19</f>
        <v>1.24</v>
      </c>
      <c r="K19" s="42" t="s">
        <v>955</v>
      </c>
      <c r="L19" s="42" t="s">
        <v>93</v>
      </c>
      <c r="M19" s="43">
        <v>8</v>
      </c>
      <c r="N19" s="43">
        <v>12</v>
      </c>
      <c r="O19" s="120" t="s">
        <v>1179</v>
      </c>
      <c r="P19" s="43"/>
      <c r="Q19" s="84"/>
      <c r="R19" s="84"/>
      <c r="S19" s="84"/>
      <c r="T19" s="84"/>
      <c r="U19" s="84"/>
      <c r="V19" s="84"/>
      <c r="W19" s="84"/>
      <c r="X19" s="84">
        <v>1.24</v>
      </c>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78">
        <f t="shared" si="1"/>
        <v>0</v>
      </c>
      <c r="BK19" s="84"/>
      <c r="BL19" s="44">
        <v>9</v>
      </c>
      <c r="BM19" s="79">
        <f t="shared" si="2"/>
        <v>0</v>
      </c>
      <c r="BN19" s="75"/>
      <c r="BO19" s="75"/>
    </row>
    <row r="20" spans="1:67" s="4" customFormat="1" x14ac:dyDescent="0.3">
      <c r="A20" s="48">
        <v>2</v>
      </c>
      <c r="B20" s="42" t="s">
        <v>555</v>
      </c>
      <c r="C20" s="48" t="s">
        <v>20</v>
      </c>
      <c r="D20" s="39">
        <v>11</v>
      </c>
      <c r="E20" s="39">
        <v>5</v>
      </c>
      <c r="F20" s="39">
        <v>6</v>
      </c>
      <c r="G20" s="39"/>
      <c r="H20" s="39"/>
      <c r="I20" s="39"/>
      <c r="J20" s="39">
        <v>6</v>
      </c>
      <c r="K20" s="50" t="s">
        <v>114</v>
      </c>
      <c r="L20" s="50" t="s">
        <v>102</v>
      </c>
      <c r="M20" s="99">
        <v>29</v>
      </c>
      <c r="N20" s="99">
        <v>13</v>
      </c>
      <c r="O20" s="9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v>6</v>
      </c>
      <c r="BF20" s="39"/>
      <c r="BG20" s="39"/>
      <c r="BH20" s="39"/>
      <c r="BI20" s="39"/>
      <c r="BJ20" s="78">
        <f t="shared" si="1"/>
        <v>0</v>
      </c>
      <c r="BK20" s="39"/>
      <c r="BL20" s="44">
        <v>9</v>
      </c>
      <c r="BM20" s="79">
        <f t="shared" si="2"/>
        <v>0</v>
      </c>
      <c r="BN20" s="75"/>
      <c r="BO20" s="75"/>
    </row>
    <row r="21" spans="1:67" s="4" customFormat="1" ht="31.2" x14ac:dyDescent="0.3">
      <c r="A21" s="48">
        <v>3</v>
      </c>
      <c r="B21" s="50" t="s">
        <v>556</v>
      </c>
      <c r="C21" s="48" t="s">
        <v>20</v>
      </c>
      <c r="D21" s="39">
        <v>62</v>
      </c>
      <c r="E21" s="39"/>
      <c r="F21" s="39">
        <v>62</v>
      </c>
      <c r="G21" s="39"/>
      <c r="H21" s="39"/>
      <c r="I21" s="39"/>
      <c r="J21" s="39">
        <v>62</v>
      </c>
      <c r="K21" s="50" t="s">
        <v>760</v>
      </c>
      <c r="L21" s="50" t="s">
        <v>102</v>
      </c>
      <c r="M21" s="99">
        <v>31</v>
      </c>
      <c r="N21" s="99">
        <v>14</v>
      </c>
      <c r="O21" s="9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v>62</v>
      </c>
      <c r="BF21" s="39"/>
      <c r="BG21" s="39"/>
      <c r="BH21" s="39"/>
      <c r="BI21" s="39"/>
      <c r="BJ21" s="78">
        <f t="shared" si="1"/>
        <v>0</v>
      </c>
      <c r="BK21" s="39"/>
      <c r="BL21" s="44">
        <v>9</v>
      </c>
      <c r="BM21" s="79">
        <f t="shared" si="2"/>
        <v>0</v>
      </c>
      <c r="BN21" s="75"/>
      <c r="BO21" s="75"/>
    </row>
    <row r="22" spans="1:67" s="4" customFormat="1" ht="46.5" customHeight="1" x14ac:dyDescent="0.3">
      <c r="A22" s="48">
        <v>4</v>
      </c>
      <c r="B22" s="42" t="s">
        <v>555</v>
      </c>
      <c r="C22" s="48" t="s">
        <v>20</v>
      </c>
      <c r="D22" s="39">
        <f>20.65+5.5</f>
        <v>26.15</v>
      </c>
      <c r="E22" s="39"/>
      <c r="F22" s="39">
        <v>26.15</v>
      </c>
      <c r="G22" s="39"/>
      <c r="H22" s="39">
        <v>20.65</v>
      </c>
      <c r="I22" s="39"/>
      <c r="J22" s="39">
        <v>5.5</v>
      </c>
      <c r="K22" s="42" t="s">
        <v>956</v>
      </c>
      <c r="L22" s="42" t="s">
        <v>247</v>
      </c>
      <c r="M22" s="48">
        <v>23</v>
      </c>
      <c r="N22" s="48">
        <v>16</v>
      </c>
      <c r="O22" s="120" t="s">
        <v>1180</v>
      </c>
      <c r="P22" s="84"/>
      <c r="Q22" s="84"/>
      <c r="R22" s="84"/>
      <c r="S22" s="84"/>
      <c r="T22" s="84"/>
      <c r="U22" s="84"/>
      <c r="V22" s="84"/>
      <c r="W22" s="84"/>
      <c r="X22" s="84">
        <v>5.5</v>
      </c>
      <c r="Y22" s="84"/>
      <c r="Z22" s="84"/>
      <c r="AA22" s="84"/>
      <c r="AB22" s="118"/>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78">
        <f t="shared" si="1"/>
        <v>0</v>
      </c>
      <c r="BK22" s="84"/>
      <c r="BL22" s="44">
        <v>9</v>
      </c>
      <c r="BM22" s="79">
        <f t="shared" si="2"/>
        <v>0</v>
      </c>
      <c r="BN22" s="75"/>
      <c r="BO22" s="75"/>
    </row>
    <row r="23" spans="1:67" s="4" customFormat="1" x14ac:dyDescent="0.3">
      <c r="A23" s="48">
        <v>5</v>
      </c>
      <c r="B23" s="42" t="s">
        <v>555</v>
      </c>
      <c r="C23" s="48" t="s">
        <v>20</v>
      </c>
      <c r="D23" s="41">
        <v>56.68</v>
      </c>
      <c r="E23" s="41"/>
      <c r="F23" s="41">
        <v>56.68</v>
      </c>
      <c r="G23" s="39"/>
      <c r="H23" s="39"/>
      <c r="I23" s="39"/>
      <c r="J23" s="39">
        <v>56.68</v>
      </c>
      <c r="K23" s="42" t="s">
        <v>957</v>
      </c>
      <c r="L23" s="42" t="s">
        <v>280</v>
      </c>
      <c r="M23" s="48">
        <v>1</v>
      </c>
      <c r="N23" s="48">
        <v>17</v>
      </c>
      <c r="O23" s="48"/>
      <c r="P23" s="84"/>
      <c r="Q23" s="84"/>
      <c r="R23" s="84"/>
      <c r="S23" s="84"/>
      <c r="T23" s="84"/>
      <c r="U23" s="84"/>
      <c r="V23" s="84"/>
      <c r="W23" s="84"/>
      <c r="X23" s="84"/>
      <c r="Y23" s="84"/>
      <c r="Z23" s="84"/>
      <c r="AA23" s="84"/>
      <c r="AB23" s="84"/>
      <c r="AC23" s="84"/>
      <c r="AD23" s="84"/>
      <c r="AE23" s="84"/>
      <c r="AF23" s="84"/>
      <c r="AG23" s="118"/>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v>56.68</v>
      </c>
      <c r="BF23" s="84"/>
      <c r="BG23" s="84"/>
      <c r="BH23" s="84"/>
      <c r="BI23" s="84"/>
      <c r="BJ23" s="78">
        <f t="shared" si="1"/>
        <v>0</v>
      </c>
      <c r="BK23" s="84"/>
      <c r="BL23" s="44">
        <v>9</v>
      </c>
      <c r="BM23" s="79">
        <f t="shared" si="2"/>
        <v>0</v>
      </c>
      <c r="BN23" s="75"/>
      <c r="BO23" s="75"/>
    </row>
    <row r="24" spans="1:67" s="4" customFormat="1" x14ac:dyDescent="0.3">
      <c r="A24" s="48">
        <v>6</v>
      </c>
      <c r="B24" s="42" t="s">
        <v>555</v>
      </c>
      <c r="C24" s="48" t="s">
        <v>20</v>
      </c>
      <c r="D24" s="41">
        <v>36</v>
      </c>
      <c r="E24" s="41"/>
      <c r="F24" s="41">
        <v>36</v>
      </c>
      <c r="G24" s="39"/>
      <c r="H24" s="39"/>
      <c r="I24" s="39"/>
      <c r="J24" s="39">
        <v>36</v>
      </c>
      <c r="K24" s="42" t="s">
        <v>285</v>
      </c>
      <c r="L24" s="42" t="s">
        <v>285</v>
      </c>
      <c r="M24" s="48">
        <v>15</v>
      </c>
      <c r="N24" s="48">
        <v>18</v>
      </c>
      <c r="O24" s="48"/>
      <c r="P24" s="84"/>
      <c r="Q24" s="84"/>
      <c r="R24" s="84"/>
      <c r="S24" s="84"/>
      <c r="T24" s="84"/>
      <c r="U24" s="84"/>
      <c r="V24" s="84"/>
      <c r="W24" s="84"/>
      <c r="X24" s="84">
        <v>31</v>
      </c>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v>5</v>
      </c>
      <c r="BF24" s="84"/>
      <c r="BG24" s="84"/>
      <c r="BH24" s="84"/>
      <c r="BI24" s="84"/>
      <c r="BJ24" s="78">
        <f t="shared" si="1"/>
        <v>0</v>
      </c>
      <c r="BK24" s="84"/>
      <c r="BL24" s="44">
        <v>9</v>
      </c>
      <c r="BM24" s="79">
        <f t="shared" si="2"/>
        <v>0</v>
      </c>
      <c r="BN24" s="75" t="s">
        <v>798</v>
      </c>
      <c r="BO24" s="75"/>
    </row>
    <row r="25" spans="1:67" x14ac:dyDescent="0.3">
      <c r="A25" s="76" t="s">
        <v>604</v>
      </c>
      <c r="B25" s="77" t="s">
        <v>84</v>
      </c>
      <c r="C25" s="81" t="s">
        <v>26</v>
      </c>
      <c r="D25" s="85">
        <f>SUM(D26:D61)</f>
        <v>755.86</v>
      </c>
      <c r="E25" s="85">
        <f t="shared" ref="E25:BI25" si="6">SUM(E26:E61)</f>
        <v>4</v>
      </c>
      <c r="F25" s="85">
        <f t="shared" si="6"/>
        <v>751.86</v>
      </c>
      <c r="G25" s="85">
        <f t="shared" si="6"/>
        <v>40.090000000000003</v>
      </c>
      <c r="H25" s="85">
        <f t="shared" si="6"/>
        <v>0</v>
      </c>
      <c r="I25" s="85">
        <f t="shared" si="6"/>
        <v>0</v>
      </c>
      <c r="J25" s="85">
        <f t="shared" si="6"/>
        <v>701.77000000000021</v>
      </c>
      <c r="K25" s="85">
        <f t="shared" si="6"/>
        <v>0</v>
      </c>
      <c r="L25" s="85">
        <f t="shared" si="6"/>
        <v>0</v>
      </c>
      <c r="M25" s="85"/>
      <c r="N25" s="85"/>
      <c r="O25" s="85">
        <f t="shared" si="6"/>
        <v>0</v>
      </c>
      <c r="P25" s="85">
        <f t="shared" si="6"/>
        <v>0</v>
      </c>
      <c r="Q25" s="85">
        <f t="shared" si="6"/>
        <v>0</v>
      </c>
      <c r="R25" s="85">
        <f t="shared" si="6"/>
        <v>0</v>
      </c>
      <c r="S25" s="85">
        <f t="shared" si="6"/>
        <v>0</v>
      </c>
      <c r="T25" s="85">
        <f t="shared" si="6"/>
        <v>0</v>
      </c>
      <c r="U25" s="85">
        <f t="shared" si="6"/>
        <v>0</v>
      </c>
      <c r="V25" s="85">
        <f t="shared" si="6"/>
        <v>0</v>
      </c>
      <c r="W25" s="85">
        <f t="shared" si="6"/>
        <v>0</v>
      </c>
      <c r="X25" s="85">
        <f t="shared" si="6"/>
        <v>0</v>
      </c>
      <c r="Y25" s="85">
        <f t="shared" si="6"/>
        <v>0</v>
      </c>
      <c r="Z25" s="85">
        <f t="shared" si="6"/>
        <v>35.32</v>
      </c>
      <c r="AA25" s="85">
        <f t="shared" si="6"/>
        <v>0</v>
      </c>
      <c r="AB25" s="85">
        <f t="shared" si="6"/>
        <v>312.43</v>
      </c>
      <c r="AC25" s="85">
        <f t="shared" si="6"/>
        <v>0</v>
      </c>
      <c r="AD25" s="85">
        <f t="shared" si="6"/>
        <v>3.97</v>
      </c>
      <c r="AE25" s="85">
        <f t="shared" si="6"/>
        <v>0</v>
      </c>
      <c r="AF25" s="85">
        <f t="shared" si="6"/>
        <v>0</v>
      </c>
      <c r="AG25" s="85">
        <f t="shared" si="6"/>
        <v>0</v>
      </c>
      <c r="AH25" s="85">
        <f t="shared" si="6"/>
        <v>0</v>
      </c>
      <c r="AI25" s="85">
        <f t="shared" si="6"/>
        <v>0</v>
      </c>
      <c r="AJ25" s="85">
        <f t="shared" si="6"/>
        <v>0</v>
      </c>
      <c r="AK25" s="85">
        <f t="shared" si="6"/>
        <v>0</v>
      </c>
      <c r="AL25" s="85">
        <f t="shared" si="6"/>
        <v>0</v>
      </c>
      <c r="AM25" s="85">
        <f t="shared" si="6"/>
        <v>0</v>
      </c>
      <c r="AN25" s="85">
        <f t="shared" si="6"/>
        <v>0</v>
      </c>
      <c r="AO25" s="85">
        <f t="shared" si="6"/>
        <v>0</v>
      </c>
      <c r="AP25" s="85">
        <f t="shared" si="6"/>
        <v>0</v>
      </c>
      <c r="AQ25" s="85">
        <f t="shared" si="6"/>
        <v>0.1</v>
      </c>
      <c r="AR25" s="85">
        <f t="shared" si="6"/>
        <v>47.28</v>
      </c>
      <c r="AS25" s="85">
        <f t="shared" si="6"/>
        <v>0</v>
      </c>
      <c r="AT25" s="85">
        <f t="shared" si="6"/>
        <v>0</v>
      </c>
      <c r="AU25" s="85">
        <f t="shared" si="6"/>
        <v>0</v>
      </c>
      <c r="AV25" s="85">
        <f t="shared" si="6"/>
        <v>0</v>
      </c>
      <c r="AW25" s="85">
        <f t="shared" si="6"/>
        <v>0</v>
      </c>
      <c r="AX25" s="85">
        <f t="shared" si="6"/>
        <v>0</v>
      </c>
      <c r="AY25" s="85">
        <f t="shared" si="6"/>
        <v>0</v>
      </c>
      <c r="AZ25" s="85">
        <f t="shared" si="6"/>
        <v>0</v>
      </c>
      <c r="BA25" s="85">
        <f t="shared" si="6"/>
        <v>0</v>
      </c>
      <c r="BB25" s="85">
        <f t="shared" si="6"/>
        <v>0</v>
      </c>
      <c r="BC25" s="85">
        <f t="shared" si="6"/>
        <v>113.63</v>
      </c>
      <c r="BD25" s="85">
        <f t="shared" si="6"/>
        <v>108.1</v>
      </c>
      <c r="BE25" s="85">
        <f t="shared" si="6"/>
        <v>76.239999999999995</v>
      </c>
      <c r="BF25" s="85">
        <f t="shared" si="6"/>
        <v>0</v>
      </c>
      <c r="BG25" s="85">
        <f t="shared" si="6"/>
        <v>0</v>
      </c>
      <c r="BH25" s="85">
        <f t="shared" si="6"/>
        <v>4.7</v>
      </c>
      <c r="BI25" s="85">
        <f t="shared" si="6"/>
        <v>0</v>
      </c>
      <c r="BJ25" s="78">
        <f t="shared" si="1"/>
        <v>0</v>
      </c>
      <c r="BK25" s="84"/>
      <c r="BL25" s="44">
        <v>11</v>
      </c>
      <c r="BM25" s="79">
        <f t="shared" si="2"/>
        <v>0</v>
      </c>
      <c r="BN25" s="75"/>
      <c r="BO25" s="75"/>
    </row>
    <row r="26" spans="1:67" s="4" customFormat="1" ht="31.5" customHeight="1" x14ac:dyDescent="0.3">
      <c r="A26" s="48">
        <v>1</v>
      </c>
      <c r="B26" s="42" t="s">
        <v>149</v>
      </c>
      <c r="C26" s="48" t="s">
        <v>26</v>
      </c>
      <c r="D26" s="39">
        <v>149.94999999999999</v>
      </c>
      <c r="E26" s="39"/>
      <c r="F26" s="39">
        <f>D26</f>
        <v>149.94999999999999</v>
      </c>
      <c r="G26" s="39">
        <v>20.95</v>
      </c>
      <c r="H26" s="41"/>
      <c r="I26" s="39"/>
      <c r="J26" s="107">
        <f>F26-G26</f>
        <v>129</v>
      </c>
      <c r="K26" s="42" t="s">
        <v>83</v>
      </c>
      <c r="L26" s="42" t="s">
        <v>81</v>
      </c>
      <c r="M26" s="48">
        <v>37</v>
      </c>
      <c r="N26" s="48">
        <v>19</v>
      </c>
      <c r="O26" s="48"/>
      <c r="P26" s="84"/>
      <c r="Q26" s="84"/>
      <c r="R26" s="84"/>
      <c r="S26" s="84"/>
      <c r="T26" s="84"/>
      <c r="U26" s="84"/>
      <c r="V26" s="84"/>
      <c r="W26" s="84"/>
      <c r="X26" s="84"/>
      <c r="Y26" s="84"/>
      <c r="Z26" s="84">
        <f>129-50-30-15</f>
        <v>34</v>
      </c>
      <c r="AA26" s="84"/>
      <c r="AB26" s="84">
        <v>50</v>
      </c>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v>30</v>
      </c>
      <c r="BE26" s="84">
        <v>15</v>
      </c>
      <c r="BF26" s="84"/>
      <c r="BG26" s="84"/>
      <c r="BH26" s="84"/>
      <c r="BI26" s="84"/>
      <c r="BJ26" s="78">
        <f t="shared" si="1"/>
        <v>0</v>
      </c>
      <c r="BK26" s="84"/>
      <c r="BL26" s="44">
        <v>11</v>
      </c>
      <c r="BM26" s="79">
        <f t="shared" si="2"/>
        <v>0</v>
      </c>
      <c r="BN26" s="75"/>
      <c r="BO26" s="75"/>
    </row>
    <row r="27" spans="1:67" s="4" customFormat="1" x14ac:dyDescent="0.3">
      <c r="A27" s="48">
        <v>2</v>
      </c>
      <c r="B27" s="42" t="s">
        <v>149</v>
      </c>
      <c r="C27" s="48" t="s">
        <v>26</v>
      </c>
      <c r="D27" s="39">
        <v>33.89</v>
      </c>
      <c r="E27" s="39"/>
      <c r="F27" s="39">
        <v>33.89</v>
      </c>
      <c r="G27" s="41">
        <v>5.2</v>
      </c>
      <c r="H27" s="41"/>
      <c r="I27" s="39"/>
      <c r="J27" s="41">
        <f>25.6+3.09</f>
        <v>28.69</v>
      </c>
      <c r="K27" s="42" t="s">
        <v>111</v>
      </c>
      <c r="L27" s="42" t="s">
        <v>91</v>
      </c>
      <c r="M27" s="48">
        <v>1</v>
      </c>
      <c r="N27" s="48">
        <v>20</v>
      </c>
      <c r="O27" s="48"/>
      <c r="P27" s="92"/>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v>8</v>
      </c>
      <c r="AS27" s="84"/>
      <c r="AT27" s="84"/>
      <c r="AU27" s="84"/>
      <c r="AV27" s="84"/>
      <c r="AW27" s="84"/>
      <c r="AX27" s="84"/>
      <c r="AY27" s="84"/>
      <c r="AZ27" s="84"/>
      <c r="BA27" s="84"/>
      <c r="BB27" s="84"/>
      <c r="BC27" s="84"/>
      <c r="BD27" s="84">
        <v>15.69</v>
      </c>
      <c r="BE27" s="84">
        <v>5</v>
      </c>
      <c r="BF27" s="84"/>
      <c r="BG27" s="84"/>
      <c r="BH27" s="84"/>
      <c r="BI27" s="84"/>
      <c r="BJ27" s="78">
        <f t="shared" si="1"/>
        <v>0</v>
      </c>
      <c r="BK27" s="84"/>
      <c r="BL27" s="44">
        <v>11</v>
      </c>
      <c r="BM27" s="79">
        <f t="shared" si="2"/>
        <v>0</v>
      </c>
      <c r="BN27" s="75"/>
      <c r="BO27" s="75"/>
    </row>
    <row r="28" spans="1:67" s="4" customFormat="1" ht="33" customHeight="1" x14ac:dyDescent="0.3">
      <c r="A28" s="48">
        <v>3</v>
      </c>
      <c r="B28" s="42" t="s">
        <v>149</v>
      </c>
      <c r="C28" s="43" t="s">
        <v>26</v>
      </c>
      <c r="D28" s="41">
        <v>13.3</v>
      </c>
      <c r="E28" s="41"/>
      <c r="F28" s="41">
        <v>13.3</v>
      </c>
      <c r="G28" s="41">
        <v>0</v>
      </c>
      <c r="H28" s="41"/>
      <c r="I28" s="39"/>
      <c r="J28" s="41">
        <v>13.3</v>
      </c>
      <c r="K28" s="42" t="s">
        <v>958</v>
      </c>
      <c r="L28" s="42" t="s">
        <v>93</v>
      </c>
      <c r="M28" s="43">
        <v>9</v>
      </c>
      <c r="N28" s="43">
        <v>21</v>
      </c>
      <c r="O28" s="43"/>
      <c r="P28" s="43"/>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v>13.3</v>
      </c>
      <c r="BE28" s="84"/>
      <c r="BF28" s="84"/>
      <c r="BG28" s="84"/>
      <c r="BH28" s="84"/>
      <c r="BI28" s="84"/>
      <c r="BJ28" s="78">
        <f t="shared" si="1"/>
        <v>0</v>
      </c>
      <c r="BK28" s="84"/>
      <c r="BL28" s="44">
        <v>11</v>
      </c>
      <c r="BM28" s="79">
        <f t="shared" si="2"/>
        <v>0</v>
      </c>
      <c r="BN28" s="75"/>
      <c r="BO28" s="75"/>
    </row>
    <row r="29" spans="1:67" s="4" customFormat="1" ht="28.5" customHeight="1" x14ac:dyDescent="0.3">
      <c r="A29" s="48">
        <v>4</v>
      </c>
      <c r="B29" s="42" t="s">
        <v>149</v>
      </c>
      <c r="C29" s="39" t="s">
        <v>26</v>
      </c>
      <c r="D29" s="39">
        <v>21.5</v>
      </c>
      <c r="E29" s="39"/>
      <c r="F29" s="39">
        <v>21.5</v>
      </c>
      <c r="G29" s="39"/>
      <c r="H29" s="39"/>
      <c r="I29" s="39"/>
      <c r="J29" s="39">
        <v>21.5</v>
      </c>
      <c r="K29" s="50" t="s">
        <v>761</v>
      </c>
      <c r="L29" s="50" t="s">
        <v>102</v>
      </c>
      <c r="M29" s="110">
        <v>45</v>
      </c>
      <c r="N29" s="110">
        <v>22</v>
      </c>
      <c r="O29" s="110"/>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v>21.5</v>
      </c>
      <c r="BD29" s="39"/>
      <c r="BE29" s="39"/>
      <c r="BF29" s="39"/>
      <c r="BG29" s="39"/>
      <c r="BH29" s="39"/>
      <c r="BI29" s="39"/>
      <c r="BJ29" s="78">
        <f t="shared" si="1"/>
        <v>0</v>
      </c>
      <c r="BK29" s="39"/>
      <c r="BL29" s="44">
        <v>11</v>
      </c>
      <c r="BM29" s="79">
        <f t="shared" si="2"/>
        <v>0</v>
      </c>
      <c r="BN29" s="75"/>
      <c r="BO29" s="75"/>
    </row>
    <row r="30" spans="1:67" s="4" customFormat="1" ht="28.5" customHeight="1" x14ac:dyDescent="0.3">
      <c r="A30" s="48">
        <v>5</v>
      </c>
      <c r="B30" s="42" t="s">
        <v>149</v>
      </c>
      <c r="C30" s="39" t="s">
        <v>26</v>
      </c>
      <c r="D30" s="39">
        <v>70.3</v>
      </c>
      <c r="E30" s="39"/>
      <c r="F30" s="39">
        <v>70.3</v>
      </c>
      <c r="G30" s="39"/>
      <c r="H30" s="39"/>
      <c r="I30" s="39"/>
      <c r="J30" s="39">
        <v>70.3</v>
      </c>
      <c r="K30" s="50" t="s">
        <v>761</v>
      </c>
      <c r="L30" s="50" t="s">
        <v>102</v>
      </c>
      <c r="M30" s="110">
        <v>46</v>
      </c>
      <c r="N30" s="110">
        <v>23</v>
      </c>
      <c r="O30" s="110"/>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v>70.3</v>
      </c>
      <c r="BD30" s="39"/>
      <c r="BE30" s="39"/>
      <c r="BF30" s="39"/>
      <c r="BG30" s="39"/>
      <c r="BH30" s="39"/>
      <c r="BI30" s="39"/>
      <c r="BJ30" s="78">
        <f t="shared" si="1"/>
        <v>0</v>
      </c>
      <c r="BK30" s="39"/>
      <c r="BL30" s="44">
        <v>11</v>
      </c>
      <c r="BM30" s="79">
        <f t="shared" si="2"/>
        <v>0</v>
      </c>
      <c r="BN30" s="75"/>
      <c r="BO30" s="75"/>
    </row>
    <row r="31" spans="1:67" s="4" customFormat="1" ht="28.5" customHeight="1" x14ac:dyDescent="0.3">
      <c r="A31" s="48">
        <v>6</v>
      </c>
      <c r="B31" s="42" t="s">
        <v>149</v>
      </c>
      <c r="C31" s="39" t="s">
        <v>26</v>
      </c>
      <c r="D31" s="39">
        <v>19.899999999999999</v>
      </c>
      <c r="E31" s="39"/>
      <c r="F31" s="39">
        <v>19.899999999999999</v>
      </c>
      <c r="G31" s="39"/>
      <c r="H31" s="39"/>
      <c r="I31" s="39"/>
      <c r="J31" s="39">
        <v>19.899999999999999</v>
      </c>
      <c r="K31" s="50" t="s">
        <v>761</v>
      </c>
      <c r="L31" s="50" t="s">
        <v>102</v>
      </c>
      <c r="M31" s="110">
        <v>47</v>
      </c>
      <c r="N31" s="110">
        <v>24</v>
      </c>
      <c r="O31" s="110"/>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v>19.899999999999999</v>
      </c>
      <c r="BD31" s="39"/>
      <c r="BE31" s="39"/>
      <c r="BF31" s="39"/>
      <c r="BG31" s="39"/>
      <c r="BH31" s="39"/>
      <c r="BI31" s="39"/>
      <c r="BJ31" s="78">
        <f t="shared" si="1"/>
        <v>0</v>
      </c>
      <c r="BK31" s="39"/>
      <c r="BL31" s="44">
        <v>11</v>
      </c>
      <c r="BM31" s="79">
        <f t="shared" si="2"/>
        <v>0</v>
      </c>
      <c r="BN31" s="75"/>
      <c r="BO31" s="75"/>
    </row>
    <row r="32" spans="1:67" s="4" customFormat="1" ht="28.5" customHeight="1" x14ac:dyDescent="0.3">
      <c r="A32" s="48">
        <v>7</v>
      </c>
      <c r="B32" s="42" t="s">
        <v>149</v>
      </c>
      <c r="C32" s="39" t="s">
        <v>26</v>
      </c>
      <c r="D32" s="39">
        <v>18.899999999999999</v>
      </c>
      <c r="E32" s="39"/>
      <c r="F32" s="39">
        <v>18.899999999999999</v>
      </c>
      <c r="G32" s="39"/>
      <c r="H32" s="39"/>
      <c r="I32" s="39"/>
      <c r="J32" s="39">
        <v>18.899999999999999</v>
      </c>
      <c r="K32" s="50" t="s">
        <v>761</v>
      </c>
      <c r="L32" s="50" t="s">
        <v>102</v>
      </c>
      <c r="M32" s="99">
        <v>33</v>
      </c>
      <c r="N32" s="99">
        <v>25</v>
      </c>
      <c r="O32" s="9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55"/>
      <c r="BE32" s="39">
        <v>18.899999999999999</v>
      </c>
      <c r="BF32" s="39"/>
      <c r="BG32" s="39"/>
      <c r="BH32" s="39"/>
      <c r="BI32" s="39"/>
      <c r="BJ32" s="78">
        <f t="shared" si="1"/>
        <v>0</v>
      </c>
      <c r="BK32" s="39"/>
      <c r="BL32" s="44">
        <v>11</v>
      </c>
      <c r="BM32" s="79">
        <f t="shared" si="2"/>
        <v>0</v>
      </c>
      <c r="BN32" s="75"/>
      <c r="BO32" s="75"/>
    </row>
    <row r="33" spans="1:67" s="4" customFormat="1" ht="31.2" x14ac:dyDescent="0.3">
      <c r="A33" s="48">
        <v>8</v>
      </c>
      <c r="B33" s="50" t="s">
        <v>521</v>
      </c>
      <c r="C33" s="39" t="s">
        <v>26</v>
      </c>
      <c r="D33" s="39">
        <v>1.5</v>
      </c>
      <c r="E33" s="39"/>
      <c r="F33" s="39">
        <v>1.5</v>
      </c>
      <c r="G33" s="39"/>
      <c r="H33" s="39"/>
      <c r="I33" s="39"/>
      <c r="J33" s="39">
        <v>1.5</v>
      </c>
      <c r="K33" s="101" t="s">
        <v>104</v>
      </c>
      <c r="L33" s="50" t="s">
        <v>102</v>
      </c>
      <c r="M33" s="110">
        <v>52</v>
      </c>
      <c r="N33" s="110">
        <v>26</v>
      </c>
      <c r="O33" s="110"/>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55"/>
      <c r="BE33" s="39">
        <v>1.5</v>
      </c>
      <c r="BF33" s="39"/>
      <c r="BG33" s="39"/>
      <c r="BH33" s="39"/>
      <c r="BI33" s="39"/>
      <c r="BJ33" s="78">
        <f t="shared" si="1"/>
        <v>0</v>
      </c>
      <c r="BK33" s="39"/>
      <c r="BL33" s="44">
        <v>11</v>
      </c>
      <c r="BM33" s="79">
        <f t="shared" si="2"/>
        <v>0</v>
      </c>
      <c r="BN33" s="75"/>
      <c r="BO33" s="75"/>
    </row>
    <row r="34" spans="1:67" s="4" customFormat="1" ht="30.75" customHeight="1" x14ac:dyDescent="0.3">
      <c r="A34" s="48">
        <v>9</v>
      </c>
      <c r="B34" s="42" t="s">
        <v>149</v>
      </c>
      <c r="C34" s="39" t="s">
        <v>26</v>
      </c>
      <c r="D34" s="39">
        <v>4</v>
      </c>
      <c r="E34" s="39"/>
      <c r="F34" s="39">
        <v>4</v>
      </c>
      <c r="G34" s="39">
        <v>0</v>
      </c>
      <c r="H34" s="39"/>
      <c r="I34" s="39"/>
      <c r="J34" s="39">
        <v>4</v>
      </c>
      <c r="K34" s="101" t="s">
        <v>112</v>
      </c>
      <c r="L34" s="50" t="s">
        <v>102</v>
      </c>
      <c r="M34" s="110">
        <v>51</v>
      </c>
      <c r="N34" s="110">
        <v>27</v>
      </c>
      <c r="O34" s="110"/>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55"/>
      <c r="BE34" s="39">
        <v>4</v>
      </c>
      <c r="BF34" s="39"/>
      <c r="BG34" s="39"/>
      <c r="BH34" s="39"/>
      <c r="BI34" s="39"/>
      <c r="BJ34" s="78">
        <f t="shared" si="1"/>
        <v>0</v>
      </c>
      <c r="BK34" s="39"/>
      <c r="BL34" s="44">
        <v>11</v>
      </c>
      <c r="BM34" s="79">
        <f t="shared" si="2"/>
        <v>0</v>
      </c>
      <c r="BN34" s="75"/>
      <c r="BO34" s="75"/>
    </row>
    <row r="35" spans="1:67" s="4" customFormat="1" ht="30.75" customHeight="1" x14ac:dyDescent="0.3">
      <c r="A35" s="48">
        <v>10</v>
      </c>
      <c r="B35" s="42" t="s">
        <v>149</v>
      </c>
      <c r="C35" s="39" t="s">
        <v>26</v>
      </c>
      <c r="D35" s="39">
        <v>2.9</v>
      </c>
      <c r="E35" s="39"/>
      <c r="F35" s="39">
        <v>2.9</v>
      </c>
      <c r="G35" s="39">
        <v>0</v>
      </c>
      <c r="H35" s="39"/>
      <c r="I35" s="39"/>
      <c r="J35" s="39">
        <v>2.9</v>
      </c>
      <c r="K35" s="101" t="s">
        <v>104</v>
      </c>
      <c r="L35" s="50" t="s">
        <v>102</v>
      </c>
      <c r="M35" s="110">
        <v>50</v>
      </c>
      <c r="N35" s="110">
        <v>28</v>
      </c>
      <c r="O35" s="110"/>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55"/>
      <c r="BE35" s="39">
        <v>2.9</v>
      </c>
      <c r="BF35" s="39"/>
      <c r="BG35" s="39"/>
      <c r="BH35" s="39"/>
      <c r="BI35" s="39"/>
      <c r="BJ35" s="78">
        <f t="shared" si="1"/>
        <v>0</v>
      </c>
      <c r="BK35" s="39"/>
      <c r="BL35" s="44">
        <v>11</v>
      </c>
      <c r="BM35" s="79">
        <f t="shared" si="2"/>
        <v>0</v>
      </c>
      <c r="BN35" s="75"/>
      <c r="BO35" s="75"/>
    </row>
    <row r="36" spans="1:67" s="59" customFormat="1" ht="30.75" customHeight="1" x14ac:dyDescent="0.3">
      <c r="A36" s="48">
        <v>11</v>
      </c>
      <c r="B36" s="42" t="s">
        <v>149</v>
      </c>
      <c r="C36" s="39" t="s">
        <v>26</v>
      </c>
      <c r="D36" s="39">
        <v>8</v>
      </c>
      <c r="E36" s="39">
        <v>4</v>
      </c>
      <c r="F36" s="39">
        <v>4</v>
      </c>
      <c r="G36" s="39"/>
      <c r="H36" s="39"/>
      <c r="I36" s="39"/>
      <c r="J36" s="39">
        <v>4</v>
      </c>
      <c r="K36" s="101" t="s">
        <v>104</v>
      </c>
      <c r="L36" s="50" t="s">
        <v>102</v>
      </c>
      <c r="M36" s="110">
        <v>56</v>
      </c>
      <c r="N36" s="110">
        <v>29</v>
      </c>
      <c r="O36" s="110"/>
      <c r="P36" s="39"/>
      <c r="Q36" s="39"/>
      <c r="R36" s="39"/>
      <c r="S36" s="39"/>
      <c r="T36" s="39"/>
      <c r="U36" s="39"/>
      <c r="V36" s="39"/>
      <c r="W36" s="39"/>
      <c r="X36" s="39"/>
      <c r="Y36" s="39"/>
      <c r="Z36" s="39"/>
      <c r="AA36" s="39"/>
      <c r="AB36" s="39">
        <v>4</v>
      </c>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78">
        <f t="shared" ref="BJ36:BJ67" si="7">D36-E36-F36</f>
        <v>0</v>
      </c>
      <c r="BK36" s="39"/>
      <c r="BL36" s="44">
        <v>11</v>
      </c>
      <c r="BM36" s="79">
        <f>J36-SUM(V36:BH36)</f>
        <v>0</v>
      </c>
      <c r="BN36" s="75"/>
      <c r="BO36" s="75"/>
    </row>
    <row r="37" spans="1:67" s="4" customFormat="1" ht="30.75" customHeight="1" x14ac:dyDescent="0.3">
      <c r="A37" s="48">
        <v>12</v>
      </c>
      <c r="B37" s="50" t="s">
        <v>284</v>
      </c>
      <c r="C37" s="39" t="s">
        <v>26</v>
      </c>
      <c r="D37" s="39">
        <v>3.1</v>
      </c>
      <c r="E37" s="121"/>
      <c r="F37" s="39">
        <v>3.1</v>
      </c>
      <c r="G37" s="39"/>
      <c r="H37" s="39">
        <v>0</v>
      </c>
      <c r="I37" s="39"/>
      <c r="J37" s="39">
        <v>3.1</v>
      </c>
      <c r="K37" s="50" t="s">
        <v>131</v>
      </c>
      <c r="L37" s="122" t="s">
        <v>125</v>
      </c>
      <c r="M37" s="110">
        <v>23</v>
      </c>
      <c r="N37" s="110">
        <v>30</v>
      </c>
      <c r="O37" s="110"/>
      <c r="P37" s="39"/>
      <c r="Q37" s="39"/>
      <c r="R37" s="39"/>
      <c r="S37" s="39"/>
      <c r="T37" s="39"/>
      <c r="U37" s="39"/>
      <c r="V37" s="39"/>
      <c r="W37" s="39"/>
      <c r="X37" s="39"/>
      <c r="Y37" s="39"/>
      <c r="Z37" s="39"/>
      <c r="AA37" s="39"/>
      <c r="AB37" s="39">
        <v>3.1</v>
      </c>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78">
        <f t="shared" si="7"/>
        <v>0</v>
      </c>
      <c r="BK37" s="39"/>
      <c r="BL37" s="44">
        <v>11</v>
      </c>
      <c r="BM37" s="79">
        <f t="shared" si="2"/>
        <v>0</v>
      </c>
      <c r="BN37" s="75"/>
      <c r="BO37" s="75"/>
    </row>
    <row r="38" spans="1:67" s="4" customFormat="1" ht="30.75" customHeight="1" x14ac:dyDescent="0.3">
      <c r="A38" s="48">
        <v>13</v>
      </c>
      <c r="B38" s="50" t="s">
        <v>284</v>
      </c>
      <c r="C38" s="39" t="s">
        <v>26</v>
      </c>
      <c r="D38" s="39">
        <v>5.2</v>
      </c>
      <c r="E38" s="121"/>
      <c r="F38" s="39">
        <v>5.2</v>
      </c>
      <c r="G38" s="39"/>
      <c r="H38" s="39">
        <v>0</v>
      </c>
      <c r="I38" s="39"/>
      <c r="J38" s="39">
        <v>5.2</v>
      </c>
      <c r="K38" s="50" t="s">
        <v>133</v>
      </c>
      <c r="L38" s="122" t="s">
        <v>125</v>
      </c>
      <c r="M38" s="110">
        <v>24</v>
      </c>
      <c r="N38" s="110">
        <v>31</v>
      </c>
      <c r="O38" s="110"/>
      <c r="P38" s="39"/>
      <c r="Q38" s="39"/>
      <c r="R38" s="39"/>
      <c r="S38" s="39"/>
      <c r="T38" s="39"/>
      <c r="U38" s="39"/>
      <c r="V38" s="39"/>
      <c r="W38" s="39"/>
      <c r="X38" s="39"/>
      <c r="Y38" s="39"/>
      <c r="Z38" s="39"/>
      <c r="AA38" s="39"/>
      <c r="AB38" s="39">
        <v>5.2</v>
      </c>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78">
        <f t="shared" si="7"/>
        <v>0</v>
      </c>
      <c r="BK38" s="39"/>
      <c r="BL38" s="44">
        <v>11</v>
      </c>
      <c r="BM38" s="79">
        <f t="shared" si="2"/>
        <v>0</v>
      </c>
      <c r="BN38" s="75"/>
      <c r="BO38" s="75"/>
    </row>
    <row r="39" spans="1:67" s="4" customFormat="1" ht="30.75" customHeight="1" x14ac:dyDescent="0.3">
      <c r="A39" s="48">
        <v>14</v>
      </c>
      <c r="B39" s="50" t="s">
        <v>284</v>
      </c>
      <c r="C39" s="39" t="s">
        <v>26</v>
      </c>
      <c r="D39" s="39">
        <v>6.5</v>
      </c>
      <c r="E39" s="121"/>
      <c r="F39" s="39">
        <v>6.5</v>
      </c>
      <c r="G39" s="39"/>
      <c r="H39" s="39">
        <v>0</v>
      </c>
      <c r="I39" s="39"/>
      <c r="J39" s="39">
        <v>6.5</v>
      </c>
      <c r="K39" s="50" t="s">
        <v>133</v>
      </c>
      <c r="L39" s="122" t="s">
        <v>125</v>
      </c>
      <c r="M39" s="110">
        <v>25</v>
      </c>
      <c r="N39" s="110">
        <v>32</v>
      </c>
      <c r="O39" s="110"/>
      <c r="P39" s="39"/>
      <c r="Q39" s="39"/>
      <c r="R39" s="39"/>
      <c r="S39" s="39"/>
      <c r="T39" s="39"/>
      <c r="U39" s="39"/>
      <c r="V39" s="39"/>
      <c r="W39" s="39"/>
      <c r="X39" s="39"/>
      <c r="Y39" s="39"/>
      <c r="Z39" s="39"/>
      <c r="AA39" s="39"/>
      <c r="AB39" s="39">
        <v>6.5</v>
      </c>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78">
        <f t="shared" si="7"/>
        <v>0</v>
      </c>
      <c r="BK39" s="39"/>
      <c r="BL39" s="44">
        <v>11</v>
      </c>
      <c r="BM39" s="79">
        <f t="shared" si="2"/>
        <v>0</v>
      </c>
      <c r="BN39" s="75"/>
      <c r="BO39" s="75"/>
    </row>
    <row r="40" spans="1:67" s="4" customFormat="1" ht="30.75" customHeight="1" x14ac:dyDescent="0.3">
      <c r="A40" s="48">
        <v>15</v>
      </c>
      <c r="B40" s="42" t="s">
        <v>149</v>
      </c>
      <c r="C40" s="39" t="s">
        <v>26</v>
      </c>
      <c r="D40" s="39">
        <v>2.5</v>
      </c>
      <c r="E40" s="121"/>
      <c r="F40" s="39">
        <v>2.5</v>
      </c>
      <c r="G40" s="39"/>
      <c r="H40" s="39">
        <v>0</v>
      </c>
      <c r="I40" s="39"/>
      <c r="J40" s="39">
        <v>2.5</v>
      </c>
      <c r="K40" s="50" t="s">
        <v>131</v>
      </c>
      <c r="L40" s="122" t="s">
        <v>125</v>
      </c>
      <c r="M40" s="99">
        <v>45</v>
      </c>
      <c r="N40" s="99">
        <v>33</v>
      </c>
      <c r="O40" s="99"/>
      <c r="P40" s="39"/>
      <c r="Q40" s="39"/>
      <c r="R40" s="39"/>
      <c r="S40" s="39"/>
      <c r="T40" s="39"/>
      <c r="U40" s="39"/>
      <c r="V40" s="39"/>
      <c r="W40" s="39"/>
      <c r="X40" s="39"/>
      <c r="Y40" s="39"/>
      <c r="Z40" s="39"/>
      <c r="AA40" s="39"/>
      <c r="AB40" s="39">
        <v>2.5</v>
      </c>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78">
        <f t="shared" si="7"/>
        <v>0</v>
      </c>
      <c r="BK40" s="39"/>
      <c r="BL40" s="44">
        <v>11</v>
      </c>
      <c r="BM40" s="79">
        <f t="shared" si="2"/>
        <v>0</v>
      </c>
      <c r="BN40" s="75"/>
      <c r="BO40" s="75"/>
    </row>
    <row r="41" spans="1:67" s="4" customFormat="1" ht="31.2" x14ac:dyDescent="0.3">
      <c r="A41" s="48">
        <v>16</v>
      </c>
      <c r="B41" s="50" t="s">
        <v>523</v>
      </c>
      <c r="C41" s="39" t="s">
        <v>26</v>
      </c>
      <c r="D41" s="41">
        <v>104</v>
      </c>
      <c r="E41" s="41"/>
      <c r="F41" s="41">
        <v>104</v>
      </c>
      <c r="G41" s="39"/>
      <c r="H41" s="39"/>
      <c r="I41" s="39"/>
      <c r="J41" s="39">
        <v>104</v>
      </c>
      <c r="K41" s="50" t="s">
        <v>163</v>
      </c>
      <c r="L41" s="50" t="s">
        <v>154</v>
      </c>
      <c r="M41" s="110">
        <v>1</v>
      </c>
      <c r="N41" s="110">
        <v>34</v>
      </c>
      <c r="O41" s="110"/>
      <c r="P41" s="39"/>
      <c r="Q41" s="39"/>
      <c r="R41" s="39"/>
      <c r="S41" s="39"/>
      <c r="T41" s="39"/>
      <c r="U41" s="39"/>
      <c r="V41" s="39"/>
      <c r="W41" s="39"/>
      <c r="X41" s="39"/>
      <c r="Y41" s="39"/>
      <c r="Z41" s="39"/>
      <c r="AA41" s="39"/>
      <c r="AB41" s="39">
        <v>104</v>
      </c>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78">
        <f t="shared" si="7"/>
        <v>0</v>
      </c>
      <c r="BK41" s="39"/>
      <c r="BL41" s="44">
        <v>11</v>
      </c>
      <c r="BM41" s="79">
        <f t="shared" si="2"/>
        <v>0</v>
      </c>
      <c r="BN41" s="75"/>
      <c r="BO41" s="75"/>
    </row>
    <row r="42" spans="1:67" s="4" customFormat="1" x14ac:dyDescent="0.3">
      <c r="A42" s="48">
        <v>17</v>
      </c>
      <c r="B42" s="50" t="s">
        <v>284</v>
      </c>
      <c r="C42" s="39" t="s">
        <v>26</v>
      </c>
      <c r="D42" s="39">
        <v>2</v>
      </c>
      <c r="E42" s="39"/>
      <c r="F42" s="39">
        <v>2</v>
      </c>
      <c r="G42" s="39"/>
      <c r="H42" s="39"/>
      <c r="I42" s="39"/>
      <c r="J42" s="39">
        <v>2</v>
      </c>
      <c r="K42" s="50" t="s">
        <v>196</v>
      </c>
      <c r="L42" s="50" t="s">
        <v>179</v>
      </c>
      <c r="M42" s="99">
        <v>1</v>
      </c>
      <c r="N42" s="99">
        <v>36</v>
      </c>
      <c r="O42" s="9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v>2</v>
      </c>
      <c r="BE42" s="39"/>
      <c r="BF42" s="39"/>
      <c r="BG42" s="39"/>
      <c r="BH42" s="39"/>
      <c r="BI42" s="39"/>
      <c r="BJ42" s="78">
        <f t="shared" si="7"/>
        <v>0</v>
      </c>
      <c r="BK42" s="84"/>
      <c r="BL42" s="44">
        <v>11</v>
      </c>
      <c r="BM42" s="79">
        <f t="shared" si="2"/>
        <v>0</v>
      </c>
      <c r="BN42" s="75"/>
      <c r="BO42" s="75"/>
    </row>
    <row r="43" spans="1:67" s="4" customFormat="1" ht="31.2" x14ac:dyDescent="0.3">
      <c r="A43" s="48">
        <v>18</v>
      </c>
      <c r="B43" s="50" t="s">
        <v>284</v>
      </c>
      <c r="C43" s="39" t="s">
        <v>26</v>
      </c>
      <c r="D43" s="39">
        <v>5.7</v>
      </c>
      <c r="E43" s="39"/>
      <c r="F43" s="39">
        <v>5.7</v>
      </c>
      <c r="G43" s="39"/>
      <c r="H43" s="39"/>
      <c r="I43" s="39"/>
      <c r="J43" s="39">
        <v>5.7</v>
      </c>
      <c r="K43" s="50" t="s">
        <v>197</v>
      </c>
      <c r="L43" s="50" t="s">
        <v>179</v>
      </c>
      <c r="M43" s="110">
        <v>5</v>
      </c>
      <c r="N43" s="110">
        <v>37</v>
      </c>
      <c r="O43" s="110"/>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v>5.7</v>
      </c>
      <c r="BE43" s="39"/>
      <c r="BF43" s="39"/>
      <c r="BG43" s="39"/>
      <c r="BH43" s="39"/>
      <c r="BI43" s="39"/>
      <c r="BJ43" s="78">
        <f t="shared" si="7"/>
        <v>0</v>
      </c>
      <c r="BK43" s="84"/>
      <c r="BL43" s="44">
        <v>11</v>
      </c>
      <c r="BM43" s="79">
        <f t="shared" si="2"/>
        <v>0</v>
      </c>
      <c r="BN43" s="75"/>
      <c r="BO43" s="75"/>
    </row>
    <row r="44" spans="1:67" s="4" customFormat="1" ht="46.8" x14ac:dyDescent="0.3">
      <c r="A44" s="48">
        <v>19</v>
      </c>
      <c r="B44" s="50" t="s">
        <v>284</v>
      </c>
      <c r="C44" s="39" t="s">
        <v>26</v>
      </c>
      <c r="D44" s="39">
        <v>8.6999999999999993</v>
      </c>
      <c r="E44" s="39"/>
      <c r="F44" s="39">
        <v>8.6999999999999993</v>
      </c>
      <c r="G44" s="39"/>
      <c r="H44" s="39"/>
      <c r="I44" s="39"/>
      <c r="J44" s="39">
        <v>8.6999999999999993</v>
      </c>
      <c r="K44" s="50" t="s">
        <v>198</v>
      </c>
      <c r="L44" s="50" t="s">
        <v>179</v>
      </c>
      <c r="M44" s="110">
        <v>6</v>
      </c>
      <c r="N44" s="110">
        <v>38</v>
      </c>
      <c r="O44" s="110"/>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v>8.6999999999999993</v>
      </c>
      <c r="BE44" s="39"/>
      <c r="BF44" s="39"/>
      <c r="BG44" s="39"/>
      <c r="BH44" s="39"/>
      <c r="BI44" s="39"/>
      <c r="BJ44" s="78">
        <f t="shared" si="7"/>
        <v>0</v>
      </c>
      <c r="BK44" s="84"/>
      <c r="BL44" s="44">
        <v>11</v>
      </c>
      <c r="BM44" s="79">
        <f t="shared" si="2"/>
        <v>0</v>
      </c>
      <c r="BN44" s="75"/>
      <c r="BO44" s="75"/>
    </row>
    <row r="45" spans="1:67" s="4" customFormat="1" ht="31.2" x14ac:dyDescent="0.3">
      <c r="A45" s="48">
        <v>20</v>
      </c>
      <c r="B45" s="50" t="s">
        <v>284</v>
      </c>
      <c r="C45" s="39" t="s">
        <v>26</v>
      </c>
      <c r="D45" s="41">
        <v>6.5</v>
      </c>
      <c r="E45" s="41"/>
      <c r="F45" s="41">
        <v>6.5</v>
      </c>
      <c r="G45" s="41"/>
      <c r="H45" s="39"/>
      <c r="I45" s="39"/>
      <c r="J45" s="39">
        <v>6.5</v>
      </c>
      <c r="K45" s="50" t="s">
        <v>199</v>
      </c>
      <c r="L45" s="50" t="s">
        <v>179</v>
      </c>
      <c r="M45" s="110">
        <v>8</v>
      </c>
      <c r="N45" s="110">
        <v>39</v>
      </c>
      <c r="O45" s="110"/>
      <c r="P45" s="41"/>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v>6.5</v>
      </c>
      <c r="BF45" s="39"/>
      <c r="BG45" s="39"/>
      <c r="BH45" s="39"/>
      <c r="BI45" s="39"/>
      <c r="BJ45" s="78">
        <f t="shared" si="7"/>
        <v>0</v>
      </c>
      <c r="BK45" s="84"/>
      <c r="BL45" s="44">
        <v>11</v>
      </c>
      <c r="BM45" s="79">
        <f t="shared" si="2"/>
        <v>0</v>
      </c>
      <c r="BN45" s="75"/>
      <c r="BO45" s="75"/>
    </row>
    <row r="46" spans="1:67" s="4" customFormat="1" ht="46.8" x14ac:dyDescent="0.3">
      <c r="A46" s="48">
        <v>21</v>
      </c>
      <c r="B46" s="42" t="s">
        <v>149</v>
      </c>
      <c r="C46" s="41" t="s">
        <v>26</v>
      </c>
      <c r="D46" s="41">
        <v>2.1</v>
      </c>
      <c r="E46" s="41"/>
      <c r="F46" s="41">
        <v>2.1</v>
      </c>
      <c r="G46" s="41"/>
      <c r="H46" s="41"/>
      <c r="I46" s="41"/>
      <c r="J46" s="39">
        <v>2.1</v>
      </c>
      <c r="K46" s="50" t="s">
        <v>959</v>
      </c>
      <c r="L46" s="50" t="s">
        <v>179</v>
      </c>
      <c r="M46" s="110">
        <v>18</v>
      </c>
      <c r="N46" s="110">
        <v>40</v>
      </c>
      <c r="O46" s="110"/>
      <c r="P46" s="50"/>
      <c r="Q46" s="50"/>
      <c r="R46" s="50"/>
      <c r="S46" s="50"/>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v>2.1</v>
      </c>
      <c r="BE46" s="115"/>
      <c r="BF46" s="115"/>
      <c r="BG46" s="115"/>
      <c r="BH46" s="115"/>
      <c r="BI46" s="115"/>
      <c r="BJ46" s="78">
        <f t="shared" si="7"/>
        <v>0</v>
      </c>
      <c r="BK46" s="84"/>
      <c r="BL46" s="44">
        <v>11</v>
      </c>
      <c r="BM46" s="79">
        <f t="shared" si="2"/>
        <v>0</v>
      </c>
      <c r="BN46" s="75"/>
      <c r="BO46" s="75"/>
    </row>
    <row r="47" spans="1:67" s="4" customFormat="1" x14ac:dyDescent="0.3">
      <c r="A47" s="48">
        <v>22</v>
      </c>
      <c r="B47" s="50" t="s">
        <v>520</v>
      </c>
      <c r="C47" s="39" t="s">
        <v>26</v>
      </c>
      <c r="D47" s="41">
        <v>15</v>
      </c>
      <c r="E47" s="41"/>
      <c r="F47" s="41">
        <v>15</v>
      </c>
      <c r="G47" s="39"/>
      <c r="H47" s="39"/>
      <c r="I47" s="39"/>
      <c r="J47" s="39">
        <v>15</v>
      </c>
      <c r="K47" s="50" t="s">
        <v>211</v>
      </c>
      <c r="L47" s="50" t="s">
        <v>208</v>
      </c>
      <c r="M47" s="110">
        <v>5</v>
      </c>
      <c r="N47" s="110">
        <v>41</v>
      </c>
      <c r="O47" s="110"/>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v>15</v>
      </c>
      <c r="BF47" s="39"/>
      <c r="BG47" s="39"/>
      <c r="BH47" s="39"/>
      <c r="BI47" s="39"/>
      <c r="BJ47" s="78">
        <f t="shared" si="7"/>
        <v>0</v>
      </c>
      <c r="BK47" s="84"/>
      <c r="BL47" s="44">
        <v>11</v>
      </c>
      <c r="BM47" s="79">
        <f t="shared" si="2"/>
        <v>0</v>
      </c>
      <c r="BN47" s="75"/>
      <c r="BO47" s="75"/>
    </row>
    <row r="48" spans="1:67" s="4" customFormat="1" ht="31.2" x14ac:dyDescent="0.3">
      <c r="A48" s="48">
        <v>23</v>
      </c>
      <c r="B48" s="50" t="s">
        <v>751</v>
      </c>
      <c r="C48" s="39" t="s">
        <v>26</v>
      </c>
      <c r="D48" s="41">
        <v>20</v>
      </c>
      <c r="E48" s="41"/>
      <c r="F48" s="41">
        <v>20</v>
      </c>
      <c r="G48" s="39"/>
      <c r="H48" s="39"/>
      <c r="I48" s="39"/>
      <c r="J48" s="39">
        <v>20</v>
      </c>
      <c r="K48" s="50" t="s">
        <v>209</v>
      </c>
      <c r="L48" s="50" t="s">
        <v>208</v>
      </c>
      <c r="M48" s="110">
        <v>6</v>
      </c>
      <c r="N48" s="110">
        <v>42</v>
      </c>
      <c r="O48" s="110"/>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v>18</v>
      </c>
      <c r="BE48" s="39">
        <v>2</v>
      </c>
      <c r="BF48" s="39"/>
      <c r="BG48" s="39"/>
      <c r="BH48" s="39"/>
      <c r="BI48" s="39"/>
      <c r="BJ48" s="78">
        <f t="shared" si="7"/>
        <v>0</v>
      </c>
      <c r="BK48" s="84"/>
      <c r="BL48" s="44">
        <v>11</v>
      </c>
      <c r="BM48" s="79">
        <f t="shared" si="2"/>
        <v>0</v>
      </c>
      <c r="BN48" s="75"/>
      <c r="BO48" s="75"/>
    </row>
    <row r="49" spans="1:67" s="4" customFormat="1" ht="31.2" x14ac:dyDescent="0.3">
      <c r="A49" s="48">
        <v>24</v>
      </c>
      <c r="B49" s="50" t="s">
        <v>752</v>
      </c>
      <c r="C49" s="39" t="s">
        <v>26</v>
      </c>
      <c r="D49" s="41">
        <v>2.16</v>
      </c>
      <c r="E49" s="55"/>
      <c r="F49" s="41">
        <v>2.16</v>
      </c>
      <c r="G49" s="39"/>
      <c r="H49" s="39"/>
      <c r="I49" s="39"/>
      <c r="J49" s="41">
        <v>2.16</v>
      </c>
      <c r="K49" s="50" t="s">
        <v>211</v>
      </c>
      <c r="L49" s="50" t="s">
        <v>208</v>
      </c>
      <c r="M49" s="110">
        <v>7</v>
      </c>
      <c r="N49" s="110">
        <v>43</v>
      </c>
      <c r="O49" s="110"/>
      <c r="P49" s="39"/>
      <c r="Q49" s="39"/>
      <c r="R49" s="39"/>
      <c r="S49" s="39"/>
      <c r="T49" s="39"/>
      <c r="U49" s="39"/>
      <c r="V49" s="39"/>
      <c r="W49" s="39"/>
      <c r="X49" s="39"/>
      <c r="Y49" s="39"/>
      <c r="Z49" s="39"/>
      <c r="AA49" s="39"/>
      <c r="AB49" s="41">
        <v>2.16</v>
      </c>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78">
        <f t="shared" si="7"/>
        <v>0</v>
      </c>
      <c r="BK49" s="84"/>
      <c r="BL49" s="44">
        <v>11</v>
      </c>
      <c r="BM49" s="79">
        <f t="shared" si="2"/>
        <v>0</v>
      </c>
      <c r="BN49" s="75"/>
      <c r="BO49" s="75"/>
    </row>
    <row r="50" spans="1:67" s="4" customFormat="1" ht="31.2" x14ac:dyDescent="0.3">
      <c r="A50" s="48">
        <v>25</v>
      </c>
      <c r="B50" s="50" t="s">
        <v>522</v>
      </c>
      <c r="C50" s="39" t="s">
        <v>26</v>
      </c>
      <c r="D50" s="41">
        <v>3.5</v>
      </c>
      <c r="E50" s="55"/>
      <c r="F50" s="41">
        <v>3.5</v>
      </c>
      <c r="G50" s="39"/>
      <c r="H50" s="39"/>
      <c r="I50" s="39"/>
      <c r="J50" s="41">
        <v>3.5</v>
      </c>
      <c r="K50" s="50" t="s">
        <v>212</v>
      </c>
      <c r="L50" s="50" t="s">
        <v>208</v>
      </c>
      <c r="M50" s="110">
        <v>8</v>
      </c>
      <c r="N50" s="110">
        <v>44</v>
      </c>
      <c r="O50" s="110"/>
      <c r="P50" s="39"/>
      <c r="Q50" s="39"/>
      <c r="R50" s="39"/>
      <c r="S50" s="39"/>
      <c r="T50" s="39"/>
      <c r="U50" s="39"/>
      <c r="V50" s="39"/>
      <c r="W50" s="39"/>
      <c r="X50" s="39"/>
      <c r="Y50" s="39"/>
      <c r="Z50" s="39"/>
      <c r="AA50" s="39"/>
      <c r="AB50" s="41">
        <v>3.5</v>
      </c>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78">
        <f t="shared" si="7"/>
        <v>0</v>
      </c>
      <c r="BK50" s="84"/>
      <c r="BL50" s="44">
        <v>11</v>
      </c>
      <c r="BM50" s="79">
        <f t="shared" si="2"/>
        <v>0</v>
      </c>
      <c r="BN50" s="75"/>
      <c r="BO50" s="75"/>
    </row>
    <row r="51" spans="1:67" s="4" customFormat="1" ht="31.2" x14ac:dyDescent="0.3">
      <c r="A51" s="48">
        <v>26</v>
      </c>
      <c r="B51" s="50" t="s">
        <v>750</v>
      </c>
      <c r="C51" s="39" t="s">
        <v>26</v>
      </c>
      <c r="D51" s="41">
        <v>97.9</v>
      </c>
      <c r="E51" s="55"/>
      <c r="F51" s="41">
        <v>97.9</v>
      </c>
      <c r="G51" s="39"/>
      <c r="H51" s="39"/>
      <c r="I51" s="39"/>
      <c r="J51" s="41">
        <v>97.9</v>
      </c>
      <c r="K51" s="50" t="s">
        <v>214</v>
      </c>
      <c r="L51" s="50" t="s">
        <v>208</v>
      </c>
      <c r="M51" s="110" t="s">
        <v>213</v>
      </c>
      <c r="N51" s="110">
        <v>45</v>
      </c>
      <c r="O51" s="110"/>
      <c r="P51" s="39"/>
      <c r="Q51" s="39"/>
      <c r="R51" s="39"/>
      <c r="S51" s="39"/>
      <c r="T51" s="39"/>
      <c r="U51" s="39"/>
      <c r="V51" s="39"/>
      <c r="W51" s="39"/>
      <c r="X51" s="39"/>
      <c r="Y51" s="39"/>
      <c r="Z51" s="39"/>
      <c r="AA51" s="39"/>
      <c r="AB51" s="41">
        <v>97.9</v>
      </c>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78">
        <f t="shared" si="7"/>
        <v>0</v>
      </c>
      <c r="BK51" s="84"/>
      <c r="BL51" s="44">
        <v>11</v>
      </c>
      <c r="BM51" s="79">
        <f t="shared" si="2"/>
        <v>0</v>
      </c>
      <c r="BN51" s="75"/>
      <c r="BO51" s="75"/>
    </row>
    <row r="52" spans="1:67" s="4" customFormat="1" ht="39.75" customHeight="1" x14ac:dyDescent="0.3">
      <c r="A52" s="48">
        <v>27</v>
      </c>
      <c r="B52" s="42" t="s">
        <v>149</v>
      </c>
      <c r="C52" s="95" t="s">
        <v>26</v>
      </c>
      <c r="D52" s="39">
        <v>4.7</v>
      </c>
      <c r="E52" s="39"/>
      <c r="F52" s="39">
        <v>4.7</v>
      </c>
      <c r="G52" s="39"/>
      <c r="H52" s="39"/>
      <c r="I52" s="39"/>
      <c r="J52" s="39">
        <v>4.7</v>
      </c>
      <c r="K52" s="42" t="s">
        <v>247</v>
      </c>
      <c r="L52" s="42" t="s">
        <v>247</v>
      </c>
      <c r="M52" s="44">
        <v>53</v>
      </c>
      <c r="N52" s="44">
        <v>46</v>
      </c>
      <c r="O52" s="4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v>4.7</v>
      </c>
      <c r="BI52" s="84"/>
      <c r="BJ52" s="78">
        <f t="shared" si="7"/>
        <v>0</v>
      </c>
      <c r="BK52" s="84"/>
      <c r="BL52" s="44">
        <v>11</v>
      </c>
      <c r="BM52" s="79">
        <f t="shared" si="2"/>
        <v>0</v>
      </c>
      <c r="BN52" s="75"/>
      <c r="BO52" s="75"/>
    </row>
    <row r="53" spans="1:67" s="4" customFormat="1" ht="44.25" customHeight="1" x14ac:dyDescent="0.3">
      <c r="A53" s="48">
        <v>28</v>
      </c>
      <c r="B53" s="42" t="s">
        <v>284</v>
      </c>
      <c r="C53" s="48" t="s">
        <v>26</v>
      </c>
      <c r="D53" s="41">
        <v>2.2000000000000002</v>
      </c>
      <c r="E53" s="41"/>
      <c r="F53" s="41">
        <v>2.2000000000000002</v>
      </c>
      <c r="G53" s="39"/>
      <c r="H53" s="39"/>
      <c r="I53" s="39"/>
      <c r="J53" s="39">
        <v>2.2000000000000002</v>
      </c>
      <c r="K53" s="42" t="s">
        <v>960</v>
      </c>
      <c r="L53" s="42" t="s">
        <v>280</v>
      </c>
      <c r="M53" s="48">
        <v>2</v>
      </c>
      <c r="N53" s="48">
        <v>47</v>
      </c>
      <c r="O53" s="48"/>
      <c r="P53" s="84"/>
      <c r="Q53" s="84"/>
      <c r="R53" s="84"/>
      <c r="S53" s="84"/>
      <c r="T53" s="84"/>
      <c r="U53" s="84"/>
      <c r="V53" s="84"/>
      <c r="W53" s="84"/>
      <c r="X53" s="84"/>
      <c r="Y53" s="84"/>
      <c r="Z53" s="84"/>
      <c r="AA53" s="84"/>
      <c r="AB53" s="84"/>
      <c r="AC53" s="84"/>
      <c r="AD53" s="84"/>
      <c r="AE53" s="84"/>
      <c r="AF53" s="84"/>
      <c r="AG53" s="118"/>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v>2.2000000000000002</v>
      </c>
      <c r="BF53" s="84"/>
      <c r="BG53" s="84"/>
      <c r="BH53" s="84"/>
      <c r="BI53" s="84"/>
      <c r="BJ53" s="78">
        <f t="shared" si="7"/>
        <v>0</v>
      </c>
      <c r="BK53" s="84"/>
      <c r="BL53" s="44">
        <v>11</v>
      </c>
      <c r="BM53" s="79">
        <f t="shared" si="2"/>
        <v>0</v>
      </c>
      <c r="BN53" s="75"/>
      <c r="BO53" s="75"/>
    </row>
    <row r="54" spans="1:67" s="4" customFormat="1" ht="46.8" x14ac:dyDescent="0.3">
      <c r="A54" s="48">
        <v>29</v>
      </c>
      <c r="B54" s="42" t="s">
        <v>149</v>
      </c>
      <c r="C54" s="48" t="s">
        <v>26</v>
      </c>
      <c r="D54" s="39">
        <f>10.92+5.76+1.08+1.3+0.93+0.79</f>
        <v>20.779999999999998</v>
      </c>
      <c r="E54" s="39"/>
      <c r="F54" s="39">
        <f>10.92+5.76+1.08+1.3+0.93+0.79</f>
        <v>20.779999999999998</v>
      </c>
      <c r="G54" s="39">
        <f>1.2+0.23+0.37</f>
        <v>1.7999999999999998</v>
      </c>
      <c r="H54" s="39"/>
      <c r="I54" s="39"/>
      <c r="J54" s="39">
        <f>SUM(X54:BG54)</f>
        <v>18.98</v>
      </c>
      <c r="K54" s="42" t="s">
        <v>350</v>
      </c>
      <c r="L54" s="42" t="s">
        <v>347</v>
      </c>
      <c r="M54" s="44">
        <v>24</v>
      </c>
      <c r="N54" s="44">
        <v>48</v>
      </c>
      <c r="O54" s="4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f>16.68+0.16</f>
        <v>16.84</v>
      </c>
      <c r="AS54" s="84"/>
      <c r="AT54" s="84"/>
      <c r="AU54" s="84"/>
      <c r="AV54" s="84"/>
      <c r="AW54" s="84"/>
      <c r="AX54" s="84"/>
      <c r="AY54" s="84"/>
      <c r="AZ54" s="84"/>
      <c r="BA54" s="84"/>
      <c r="BB54" s="84"/>
      <c r="BC54" s="84"/>
      <c r="BD54" s="84"/>
      <c r="BE54" s="84">
        <f>1.08+0.1+0.7+0.26</f>
        <v>2.14</v>
      </c>
      <c r="BF54" s="84"/>
      <c r="BG54" s="84"/>
      <c r="BH54" s="79">
        <f>J54-SUM(V54:BG54)</f>
        <v>0</v>
      </c>
      <c r="BI54" s="79"/>
      <c r="BJ54" s="78">
        <f t="shared" si="7"/>
        <v>0</v>
      </c>
      <c r="BK54" s="48"/>
      <c r="BL54" s="44">
        <v>11</v>
      </c>
      <c r="BM54" s="79">
        <f t="shared" si="2"/>
        <v>0</v>
      </c>
      <c r="BN54" s="75"/>
      <c r="BO54" s="75"/>
    </row>
    <row r="55" spans="1:67" s="4" customFormat="1" ht="31.2" x14ac:dyDescent="0.3">
      <c r="A55" s="48">
        <v>30</v>
      </c>
      <c r="B55" s="42" t="s">
        <v>149</v>
      </c>
      <c r="C55" s="48" t="s">
        <v>26</v>
      </c>
      <c r="D55" s="41">
        <f>8.88+3.57+5.34+7.1+15.42+0.41+0.77+2.15+1.2+7.7+2.39</f>
        <v>54.930000000000007</v>
      </c>
      <c r="E55" s="41"/>
      <c r="F55" s="41">
        <f>43.64+1.2+7.7+2.39</f>
        <v>54.930000000000007</v>
      </c>
      <c r="G55" s="39">
        <f>13.71+0.41-3.33+1.2+0.81-8.9</f>
        <v>3.9000000000000004</v>
      </c>
      <c r="H55" s="39"/>
      <c r="I55" s="39"/>
      <c r="J55" s="39">
        <f>SUM(V55:BG55)</f>
        <v>41.03</v>
      </c>
      <c r="K55" s="42" t="s">
        <v>369</v>
      </c>
      <c r="L55" s="42" t="s">
        <v>364</v>
      </c>
      <c r="M55" s="44">
        <v>1</v>
      </c>
      <c r="N55" s="44">
        <v>49</v>
      </c>
      <c r="O55" s="44"/>
      <c r="P55" s="39"/>
      <c r="Q55" s="39"/>
      <c r="R55" s="39"/>
      <c r="S55" s="39"/>
      <c r="T55" s="39"/>
      <c r="U55" s="39"/>
      <c r="V55" s="39"/>
      <c r="W55" s="39"/>
      <c r="X55" s="39"/>
      <c r="Y55" s="39"/>
      <c r="Z55" s="39"/>
      <c r="AA55" s="39"/>
      <c r="AB55" s="39">
        <f>1+2.29+0.62+0.65+0.94+0.22+1.22</f>
        <v>6.9399999999999995</v>
      </c>
      <c r="AC55" s="39"/>
      <c r="AD55" s="39"/>
      <c r="AE55" s="39"/>
      <c r="AF55" s="39"/>
      <c r="AG55" s="39"/>
      <c r="AH55" s="39"/>
      <c r="AI55" s="39"/>
      <c r="AJ55" s="39"/>
      <c r="AK55" s="39"/>
      <c r="AL55" s="39"/>
      <c r="AM55" s="39"/>
      <c r="AN55" s="39"/>
      <c r="AO55" s="39"/>
      <c r="AP55" s="39"/>
      <c r="AQ55" s="39"/>
      <c r="AR55" s="39">
        <v>21.75</v>
      </c>
      <c r="AS55" s="39"/>
      <c r="AT55" s="39"/>
      <c r="AU55" s="39"/>
      <c r="AV55" s="39"/>
      <c r="AW55" s="39"/>
      <c r="AX55" s="39"/>
      <c r="AY55" s="39"/>
      <c r="AZ55" s="39"/>
      <c r="BA55" s="39"/>
      <c r="BB55" s="39"/>
      <c r="BC55" s="39">
        <v>1.93</v>
      </c>
      <c r="BD55" s="39">
        <f>0.37+2.15+7.7-0.81</f>
        <v>9.41</v>
      </c>
      <c r="BE55" s="39">
        <f>0.03+0.2+0.77</f>
        <v>1</v>
      </c>
      <c r="BF55" s="39"/>
      <c r="BG55" s="39"/>
      <c r="BH55" s="39"/>
      <c r="BI55" s="39"/>
      <c r="BJ55" s="78">
        <f t="shared" si="7"/>
        <v>0</v>
      </c>
      <c r="BK55" s="84"/>
      <c r="BL55" s="44">
        <v>11</v>
      </c>
      <c r="BM55" s="79">
        <f t="shared" si="2"/>
        <v>0</v>
      </c>
      <c r="BN55" s="75"/>
      <c r="BO55" s="75"/>
    </row>
    <row r="56" spans="1:67" s="4" customFormat="1" ht="31.2" x14ac:dyDescent="0.3">
      <c r="A56" s="48">
        <v>31</v>
      </c>
      <c r="B56" s="42" t="s">
        <v>149</v>
      </c>
      <c r="C56" s="48" t="s">
        <v>26</v>
      </c>
      <c r="D56" s="39">
        <f>1.32+0.25+26.63</f>
        <v>28.2</v>
      </c>
      <c r="E56" s="39"/>
      <c r="F56" s="39">
        <v>28.2</v>
      </c>
      <c r="G56" s="39"/>
      <c r="H56" s="39"/>
      <c r="I56" s="39"/>
      <c r="J56" s="39">
        <f>SUM(Z56:BG56)</f>
        <v>28.2</v>
      </c>
      <c r="K56" s="42" t="s">
        <v>785</v>
      </c>
      <c r="L56" s="42" t="s">
        <v>377</v>
      </c>
      <c r="M56" s="44">
        <v>25</v>
      </c>
      <c r="N56" s="44">
        <v>50</v>
      </c>
      <c r="O56" s="44"/>
      <c r="P56" s="84"/>
      <c r="Q56" s="84"/>
      <c r="R56" s="84"/>
      <c r="S56" s="84"/>
      <c r="T56" s="84"/>
      <c r="U56" s="84"/>
      <c r="V56" s="84"/>
      <c r="W56" s="84"/>
      <c r="X56" s="84"/>
      <c r="Y56" s="84"/>
      <c r="Z56" s="84">
        <v>1.32</v>
      </c>
      <c r="AA56" s="84"/>
      <c r="AB56" s="84">
        <v>26.63</v>
      </c>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v>0.25</v>
      </c>
      <c r="BE56" s="84"/>
      <c r="BF56" s="84"/>
      <c r="BG56" s="84"/>
      <c r="BH56" s="84"/>
      <c r="BI56" s="84"/>
      <c r="BJ56" s="78">
        <f t="shared" si="7"/>
        <v>0</v>
      </c>
      <c r="BK56" s="84"/>
      <c r="BL56" s="44">
        <v>11</v>
      </c>
      <c r="BM56" s="79">
        <f t="shared" si="2"/>
        <v>0</v>
      </c>
      <c r="BN56" s="75"/>
      <c r="BO56" s="75"/>
    </row>
    <row r="57" spans="1:67" s="4" customFormat="1" x14ac:dyDescent="0.3">
      <c r="A57" s="48">
        <v>32</v>
      </c>
      <c r="B57" s="42" t="s">
        <v>149</v>
      </c>
      <c r="C57" s="48" t="s">
        <v>26</v>
      </c>
      <c r="D57" s="39">
        <v>5.83</v>
      </c>
      <c r="E57" s="39"/>
      <c r="F57" s="39">
        <v>5.83</v>
      </c>
      <c r="G57" s="39">
        <f>5.83-0.52</f>
        <v>5.3100000000000005</v>
      </c>
      <c r="H57" s="39"/>
      <c r="I57" s="39"/>
      <c r="J57" s="39">
        <f>SUM(P57:BG57)</f>
        <v>0.52</v>
      </c>
      <c r="K57" s="42" t="s">
        <v>430</v>
      </c>
      <c r="L57" s="42" t="s">
        <v>415</v>
      </c>
      <c r="M57" s="43">
        <v>12</v>
      </c>
      <c r="N57" s="43">
        <v>51</v>
      </c>
      <c r="O57" s="43"/>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f>0.13+0.08+0.21</f>
        <v>0.42000000000000004</v>
      </c>
      <c r="BE57" s="84">
        <v>0.1</v>
      </c>
      <c r="BF57" s="84"/>
      <c r="BG57" s="84"/>
      <c r="BH57" s="84"/>
      <c r="BI57" s="84"/>
      <c r="BJ57" s="78">
        <f t="shared" si="7"/>
        <v>0</v>
      </c>
      <c r="BK57" s="84"/>
      <c r="BL57" s="44">
        <v>11</v>
      </c>
      <c r="BM57" s="79">
        <f t="shared" si="2"/>
        <v>0</v>
      </c>
      <c r="BN57" s="75"/>
      <c r="BO57" s="75"/>
    </row>
    <row r="58" spans="1:67" s="4" customFormat="1" x14ac:dyDescent="0.3">
      <c r="A58" s="48">
        <v>33</v>
      </c>
      <c r="B58" s="42" t="s">
        <v>149</v>
      </c>
      <c r="C58" s="48" t="s">
        <v>26</v>
      </c>
      <c r="D58" s="39">
        <v>0.81</v>
      </c>
      <c r="E58" s="39"/>
      <c r="F58" s="39">
        <v>0.81</v>
      </c>
      <c r="G58" s="39">
        <v>0.71</v>
      </c>
      <c r="H58" s="39"/>
      <c r="I58" s="39"/>
      <c r="J58" s="39">
        <f>SUM(P58:BG58)</f>
        <v>0.1</v>
      </c>
      <c r="K58" s="42" t="s">
        <v>435</v>
      </c>
      <c r="L58" s="42" t="s">
        <v>415</v>
      </c>
      <c r="M58" s="43">
        <v>57</v>
      </c>
      <c r="N58" s="43">
        <v>52</v>
      </c>
      <c r="O58" s="43"/>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v>0.1</v>
      </c>
      <c r="AR58" s="84"/>
      <c r="AS58" s="84"/>
      <c r="AT58" s="84"/>
      <c r="AU58" s="84"/>
      <c r="AV58" s="84"/>
      <c r="AW58" s="84"/>
      <c r="AX58" s="84"/>
      <c r="AY58" s="84"/>
      <c r="AZ58" s="84"/>
      <c r="BA58" s="84"/>
      <c r="BB58" s="84"/>
      <c r="BC58" s="84"/>
      <c r="BD58" s="84"/>
      <c r="BE58" s="84"/>
      <c r="BF58" s="84"/>
      <c r="BG58" s="84"/>
      <c r="BH58" s="84"/>
      <c r="BI58" s="84"/>
      <c r="BJ58" s="78">
        <f t="shared" si="7"/>
        <v>0</v>
      </c>
      <c r="BK58" s="84"/>
      <c r="BL58" s="44">
        <v>11</v>
      </c>
      <c r="BM58" s="79">
        <f t="shared" si="2"/>
        <v>0</v>
      </c>
      <c r="BN58" s="75"/>
      <c r="BO58" s="75"/>
    </row>
    <row r="59" spans="1:67" s="4" customFormat="1" x14ac:dyDescent="0.3">
      <c r="A59" s="48">
        <v>34</v>
      </c>
      <c r="B59" s="42" t="s">
        <v>149</v>
      </c>
      <c r="C59" s="48" t="s">
        <v>26</v>
      </c>
      <c r="D59" s="39">
        <v>2.71</v>
      </c>
      <c r="E59" s="39"/>
      <c r="F59" s="39">
        <v>2.71</v>
      </c>
      <c r="G59" s="39">
        <v>0.18</v>
      </c>
      <c r="H59" s="39"/>
      <c r="I59" s="39"/>
      <c r="J59" s="39">
        <f>SUM(P59:BG59)</f>
        <v>2.5299999999999998</v>
      </c>
      <c r="K59" s="42" t="s">
        <v>429</v>
      </c>
      <c r="L59" s="42" t="s">
        <v>415</v>
      </c>
      <c r="M59" s="43">
        <v>41</v>
      </c>
      <c r="N59" s="43">
        <v>53</v>
      </c>
      <c r="O59" s="43"/>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f>2.71-0.18</f>
        <v>2.5299999999999998</v>
      </c>
      <c r="BE59" s="84"/>
      <c r="BF59" s="84"/>
      <c r="BG59" s="84"/>
      <c r="BH59" s="84"/>
      <c r="BI59" s="84"/>
      <c r="BJ59" s="78">
        <f t="shared" si="7"/>
        <v>0</v>
      </c>
      <c r="BK59" s="84"/>
      <c r="BL59" s="44">
        <v>11</v>
      </c>
      <c r="BM59" s="79">
        <f t="shared" si="2"/>
        <v>0</v>
      </c>
      <c r="BN59" s="75"/>
      <c r="BO59" s="75"/>
    </row>
    <row r="60" spans="1:67" s="69" customFormat="1" ht="31.2" x14ac:dyDescent="0.3">
      <c r="A60" s="48">
        <v>35</v>
      </c>
      <c r="B60" s="42" t="s">
        <v>149</v>
      </c>
      <c r="C60" s="48" t="s">
        <v>26</v>
      </c>
      <c r="D60" s="39">
        <v>2.73</v>
      </c>
      <c r="E60" s="39">
        <v>0</v>
      </c>
      <c r="F60" s="39">
        <v>2.73</v>
      </c>
      <c r="G60" s="39">
        <v>2.04</v>
      </c>
      <c r="H60" s="39"/>
      <c r="I60" s="39"/>
      <c r="J60" s="39">
        <v>0.69</v>
      </c>
      <c r="K60" s="42" t="s">
        <v>961</v>
      </c>
      <c r="L60" s="42" t="s">
        <v>285</v>
      </c>
      <c r="M60" s="44">
        <v>31</v>
      </c>
      <c r="N60" s="44">
        <v>54</v>
      </c>
      <c r="O60" s="4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f>F60-G60</f>
        <v>0.69</v>
      </c>
      <c r="AS60" s="84"/>
      <c r="AT60" s="84"/>
      <c r="AU60" s="84"/>
      <c r="AV60" s="84"/>
      <c r="AW60" s="84"/>
      <c r="AX60" s="84"/>
      <c r="AY60" s="84"/>
      <c r="AZ60" s="84"/>
      <c r="BA60" s="84"/>
      <c r="BB60" s="84"/>
      <c r="BC60" s="84"/>
      <c r="BD60" s="84"/>
      <c r="BE60" s="84"/>
      <c r="BF60" s="84"/>
      <c r="BG60" s="84"/>
      <c r="BH60" s="84"/>
      <c r="BI60" s="84"/>
      <c r="BJ60" s="78">
        <f t="shared" si="7"/>
        <v>0</v>
      </c>
      <c r="BK60" s="75"/>
      <c r="BL60" s="75"/>
      <c r="BM60" s="79">
        <f t="shared" si="2"/>
        <v>0</v>
      </c>
      <c r="BN60" s="75"/>
      <c r="BO60" s="75"/>
    </row>
    <row r="61" spans="1:67" s="69" customFormat="1" ht="38.25" customHeight="1" x14ac:dyDescent="0.3">
      <c r="A61" s="48">
        <v>36</v>
      </c>
      <c r="B61" s="42" t="s">
        <v>149</v>
      </c>
      <c r="C61" s="48" t="s">
        <v>26</v>
      </c>
      <c r="D61" s="39">
        <v>3.97</v>
      </c>
      <c r="E61" s="39"/>
      <c r="F61" s="39">
        <v>3.97</v>
      </c>
      <c r="G61" s="39"/>
      <c r="H61" s="39"/>
      <c r="I61" s="39"/>
      <c r="J61" s="39">
        <v>3.97</v>
      </c>
      <c r="K61" s="54" t="s">
        <v>1317</v>
      </c>
      <c r="L61" s="114" t="s">
        <v>688</v>
      </c>
      <c r="M61" s="44"/>
      <c r="N61" s="44">
        <v>807</v>
      </c>
      <c r="O61" s="44"/>
      <c r="P61" s="84"/>
      <c r="Q61" s="84"/>
      <c r="R61" s="84"/>
      <c r="S61" s="84"/>
      <c r="T61" s="84"/>
      <c r="U61" s="84"/>
      <c r="V61" s="84"/>
      <c r="W61" s="84"/>
      <c r="X61" s="84"/>
      <c r="Y61" s="84"/>
      <c r="Z61" s="84"/>
      <c r="AA61" s="84"/>
      <c r="AB61" s="84"/>
      <c r="AC61" s="84"/>
      <c r="AD61" s="84">
        <v>3.97</v>
      </c>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78"/>
      <c r="BK61" s="75"/>
      <c r="BL61" s="75"/>
      <c r="BM61" s="79"/>
      <c r="BN61" s="75"/>
      <c r="BO61" s="75"/>
    </row>
    <row r="62" spans="1:67" x14ac:dyDescent="0.3">
      <c r="A62" s="76" t="s">
        <v>166</v>
      </c>
      <c r="B62" s="77" t="s">
        <v>605</v>
      </c>
      <c r="C62" s="81" t="s">
        <v>27</v>
      </c>
      <c r="D62" s="81">
        <f>D63</f>
        <v>22</v>
      </c>
      <c r="E62" s="81"/>
      <c r="F62" s="81">
        <v>22</v>
      </c>
      <c r="G62" s="81">
        <f t="shared" ref="G62:BH62" si="8">G63</f>
        <v>0</v>
      </c>
      <c r="H62" s="81">
        <f t="shared" si="8"/>
        <v>0</v>
      </c>
      <c r="I62" s="81">
        <f t="shared" si="8"/>
        <v>0</v>
      </c>
      <c r="J62" s="81">
        <v>22</v>
      </c>
      <c r="K62" s="82"/>
      <c r="L62" s="82"/>
      <c r="M62" s="83"/>
      <c r="N62" s="83"/>
      <c r="O62" s="83"/>
      <c r="P62" s="83">
        <f t="shared" si="8"/>
        <v>0</v>
      </c>
      <c r="Q62" s="83">
        <f t="shared" si="8"/>
        <v>0</v>
      </c>
      <c r="R62" s="83">
        <f t="shared" si="8"/>
        <v>0</v>
      </c>
      <c r="S62" s="83">
        <f t="shared" si="8"/>
        <v>0</v>
      </c>
      <c r="T62" s="83">
        <f t="shared" si="8"/>
        <v>0</v>
      </c>
      <c r="U62" s="83">
        <f t="shared" si="8"/>
        <v>0</v>
      </c>
      <c r="V62" s="83">
        <f t="shared" si="8"/>
        <v>0</v>
      </c>
      <c r="W62" s="83">
        <f t="shared" si="8"/>
        <v>0</v>
      </c>
      <c r="X62" s="83">
        <f t="shared" si="8"/>
        <v>0</v>
      </c>
      <c r="Y62" s="83">
        <f t="shared" si="8"/>
        <v>0</v>
      </c>
      <c r="Z62" s="83">
        <f t="shared" si="8"/>
        <v>0</v>
      </c>
      <c r="AA62" s="83">
        <f t="shared" si="8"/>
        <v>0</v>
      </c>
      <c r="AB62" s="83">
        <f t="shared" si="8"/>
        <v>0</v>
      </c>
      <c r="AC62" s="83">
        <f t="shared" si="8"/>
        <v>22</v>
      </c>
      <c r="AD62" s="83">
        <f t="shared" si="8"/>
        <v>0</v>
      </c>
      <c r="AE62" s="83">
        <f t="shared" si="8"/>
        <v>0</v>
      </c>
      <c r="AF62" s="83">
        <f t="shared" si="8"/>
        <v>0</v>
      </c>
      <c r="AG62" s="83">
        <f t="shared" si="8"/>
        <v>0</v>
      </c>
      <c r="AH62" s="83">
        <f t="shared" si="8"/>
        <v>0</v>
      </c>
      <c r="AI62" s="83">
        <f t="shared" si="8"/>
        <v>0</v>
      </c>
      <c r="AJ62" s="83">
        <f t="shared" si="8"/>
        <v>0</v>
      </c>
      <c r="AK62" s="83">
        <f t="shared" si="8"/>
        <v>0</v>
      </c>
      <c r="AL62" s="83">
        <f t="shared" si="8"/>
        <v>0</v>
      </c>
      <c r="AM62" s="83">
        <f t="shared" si="8"/>
        <v>0</v>
      </c>
      <c r="AN62" s="83">
        <f t="shared" si="8"/>
        <v>0</v>
      </c>
      <c r="AO62" s="83">
        <f t="shared" si="8"/>
        <v>0</v>
      </c>
      <c r="AP62" s="83">
        <f t="shared" si="8"/>
        <v>0</v>
      </c>
      <c r="AQ62" s="83">
        <f t="shared" si="8"/>
        <v>0</v>
      </c>
      <c r="AR62" s="83">
        <f t="shared" si="8"/>
        <v>0</v>
      </c>
      <c r="AS62" s="83">
        <f t="shared" si="8"/>
        <v>0</v>
      </c>
      <c r="AT62" s="83">
        <f t="shared" si="8"/>
        <v>0</v>
      </c>
      <c r="AU62" s="83">
        <f t="shared" si="8"/>
        <v>0</v>
      </c>
      <c r="AV62" s="83">
        <f t="shared" si="8"/>
        <v>0</v>
      </c>
      <c r="AW62" s="83">
        <f t="shared" si="8"/>
        <v>0</v>
      </c>
      <c r="AX62" s="83">
        <f t="shared" si="8"/>
        <v>0</v>
      </c>
      <c r="AY62" s="83">
        <f t="shared" si="8"/>
        <v>0</v>
      </c>
      <c r="AZ62" s="83">
        <f t="shared" si="8"/>
        <v>0</v>
      </c>
      <c r="BA62" s="83">
        <f t="shared" si="8"/>
        <v>0</v>
      </c>
      <c r="BB62" s="83">
        <f t="shared" si="8"/>
        <v>0</v>
      </c>
      <c r="BC62" s="83">
        <f t="shared" si="8"/>
        <v>0</v>
      </c>
      <c r="BD62" s="83">
        <f t="shared" si="8"/>
        <v>0</v>
      </c>
      <c r="BE62" s="83">
        <f t="shared" si="8"/>
        <v>0</v>
      </c>
      <c r="BF62" s="83">
        <f t="shared" si="8"/>
        <v>0</v>
      </c>
      <c r="BG62" s="83">
        <f t="shared" si="8"/>
        <v>0</v>
      </c>
      <c r="BH62" s="83">
        <f t="shared" si="8"/>
        <v>0</v>
      </c>
      <c r="BI62" s="83"/>
      <c r="BJ62" s="78">
        <f t="shared" si="7"/>
        <v>0</v>
      </c>
      <c r="BK62" s="84"/>
      <c r="BL62" s="44">
        <v>12</v>
      </c>
      <c r="BM62" s="79">
        <f t="shared" si="2"/>
        <v>0</v>
      </c>
      <c r="BN62" s="75"/>
      <c r="BO62" s="75"/>
    </row>
    <row r="63" spans="1:67" s="4" customFormat="1" ht="62.4" x14ac:dyDescent="0.3">
      <c r="A63" s="48">
        <v>1</v>
      </c>
      <c r="B63" s="50" t="s">
        <v>515</v>
      </c>
      <c r="C63" s="39" t="s">
        <v>27</v>
      </c>
      <c r="D63" s="41">
        <v>22</v>
      </c>
      <c r="E63" s="41"/>
      <c r="F63" s="41">
        <v>22</v>
      </c>
      <c r="G63" s="39"/>
      <c r="H63" s="39"/>
      <c r="I63" s="39"/>
      <c r="J63" s="39">
        <v>22</v>
      </c>
      <c r="K63" s="50" t="s">
        <v>762</v>
      </c>
      <c r="L63" s="50" t="s">
        <v>102</v>
      </c>
      <c r="M63" s="110">
        <v>2</v>
      </c>
      <c r="N63" s="110">
        <v>55</v>
      </c>
      <c r="O63" s="110"/>
      <c r="P63" s="39"/>
      <c r="Q63" s="39"/>
      <c r="R63" s="39"/>
      <c r="S63" s="39"/>
      <c r="T63" s="39"/>
      <c r="U63" s="39"/>
      <c r="V63" s="39"/>
      <c r="W63" s="39"/>
      <c r="X63" s="39"/>
      <c r="Y63" s="39"/>
      <c r="Z63" s="39"/>
      <c r="AA63" s="39"/>
      <c r="AB63" s="39"/>
      <c r="AC63" s="39">
        <v>22</v>
      </c>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78">
        <f t="shared" si="7"/>
        <v>0</v>
      </c>
      <c r="BK63" s="39"/>
      <c r="BL63" s="99">
        <v>12</v>
      </c>
      <c r="BM63" s="79">
        <f t="shared" si="2"/>
        <v>0</v>
      </c>
      <c r="BN63" s="75"/>
      <c r="BO63" s="75"/>
    </row>
    <row r="64" spans="1:67" s="6" customFormat="1" x14ac:dyDescent="0.3">
      <c r="A64" s="76" t="s">
        <v>606</v>
      </c>
      <c r="B64" s="77" t="s">
        <v>235</v>
      </c>
      <c r="C64" s="81" t="s">
        <v>28</v>
      </c>
      <c r="D64" s="85">
        <f t="shared" ref="D64:L64" si="9">SUM(D65:D111)</f>
        <v>655.98099999999988</v>
      </c>
      <c r="E64" s="85">
        <f t="shared" si="9"/>
        <v>8.9</v>
      </c>
      <c r="F64" s="85">
        <f t="shared" si="9"/>
        <v>647.07999999999981</v>
      </c>
      <c r="G64" s="85">
        <f t="shared" si="9"/>
        <v>178.53</v>
      </c>
      <c r="H64" s="85">
        <f t="shared" si="9"/>
        <v>0</v>
      </c>
      <c r="I64" s="85">
        <f t="shared" si="9"/>
        <v>0</v>
      </c>
      <c r="J64" s="85">
        <f t="shared" si="9"/>
        <v>468.55</v>
      </c>
      <c r="K64" s="86">
        <f t="shared" si="9"/>
        <v>0</v>
      </c>
      <c r="L64" s="86">
        <f t="shared" si="9"/>
        <v>0</v>
      </c>
      <c r="M64" s="85"/>
      <c r="N64" s="85"/>
      <c r="O64" s="85"/>
      <c r="P64" s="85">
        <f t="shared" ref="P64:BH64" si="10">SUM(P65:P111)</f>
        <v>0</v>
      </c>
      <c r="Q64" s="85">
        <f t="shared" si="10"/>
        <v>0</v>
      </c>
      <c r="R64" s="85">
        <f t="shared" si="10"/>
        <v>0</v>
      </c>
      <c r="S64" s="85">
        <f t="shared" si="10"/>
        <v>0</v>
      </c>
      <c r="T64" s="85">
        <f t="shared" si="10"/>
        <v>0</v>
      </c>
      <c r="U64" s="85">
        <f t="shared" si="10"/>
        <v>0</v>
      </c>
      <c r="V64" s="85">
        <f t="shared" si="10"/>
        <v>0</v>
      </c>
      <c r="W64" s="85">
        <f t="shared" si="10"/>
        <v>0</v>
      </c>
      <c r="X64" s="85">
        <f t="shared" si="10"/>
        <v>182.34</v>
      </c>
      <c r="Y64" s="85">
        <f t="shared" si="10"/>
        <v>0</v>
      </c>
      <c r="Z64" s="85">
        <f t="shared" si="10"/>
        <v>34.959999999999994</v>
      </c>
      <c r="AA64" s="85">
        <f t="shared" si="10"/>
        <v>51.95</v>
      </c>
      <c r="AB64" s="85">
        <f t="shared" si="10"/>
        <v>43.190000000000005</v>
      </c>
      <c r="AC64" s="85">
        <f t="shared" si="10"/>
        <v>0</v>
      </c>
      <c r="AD64" s="85">
        <f t="shared" si="10"/>
        <v>6.7</v>
      </c>
      <c r="AE64" s="85">
        <f t="shared" si="10"/>
        <v>0.25</v>
      </c>
      <c r="AF64" s="85">
        <f t="shared" si="10"/>
        <v>0</v>
      </c>
      <c r="AG64" s="85">
        <f t="shared" si="10"/>
        <v>0</v>
      </c>
      <c r="AH64" s="85">
        <f t="shared" si="10"/>
        <v>0</v>
      </c>
      <c r="AI64" s="85">
        <f t="shared" si="10"/>
        <v>0</v>
      </c>
      <c r="AJ64" s="85">
        <f t="shared" si="10"/>
        <v>0</v>
      </c>
      <c r="AK64" s="85">
        <f t="shared" si="10"/>
        <v>0</v>
      </c>
      <c r="AL64" s="85">
        <f t="shared" si="10"/>
        <v>0</v>
      </c>
      <c r="AM64" s="85">
        <f t="shared" si="10"/>
        <v>0</v>
      </c>
      <c r="AN64" s="85">
        <f t="shared" si="10"/>
        <v>0</v>
      </c>
      <c r="AO64" s="85">
        <f t="shared" si="10"/>
        <v>0</v>
      </c>
      <c r="AP64" s="85">
        <f t="shared" si="10"/>
        <v>0</v>
      </c>
      <c r="AQ64" s="85">
        <f t="shared" si="10"/>
        <v>2.0900000000000003</v>
      </c>
      <c r="AR64" s="85">
        <f t="shared" si="10"/>
        <v>1.4700000000000002</v>
      </c>
      <c r="AS64" s="85">
        <f t="shared" si="10"/>
        <v>0</v>
      </c>
      <c r="AT64" s="85">
        <f t="shared" si="10"/>
        <v>0</v>
      </c>
      <c r="AU64" s="85">
        <f t="shared" si="10"/>
        <v>0</v>
      </c>
      <c r="AV64" s="85">
        <f t="shared" si="10"/>
        <v>0</v>
      </c>
      <c r="AW64" s="85">
        <f t="shared" si="10"/>
        <v>0</v>
      </c>
      <c r="AX64" s="85">
        <f t="shared" si="10"/>
        <v>0</v>
      </c>
      <c r="AY64" s="85">
        <f t="shared" si="10"/>
        <v>0</v>
      </c>
      <c r="AZ64" s="85">
        <f t="shared" si="10"/>
        <v>0</v>
      </c>
      <c r="BA64" s="85">
        <f t="shared" si="10"/>
        <v>0</v>
      </c>
      <c r="BB64" s="85">
        <f t="shared" si="10"/>
        <v>0</v>
      </c>
      <c r="BC64" s="85">
        <f t="shared" si="10"/>
        <v>21.54</v>
      </c>
      <c r="BD64" s="85">
        <f t="shared" si="10"/>
        <v>39.909999999999989</v>
      </c>
      <c r="BE64" s="85">
        <f t="shared" si="10"/>
        <v>77.349999999999994</v>
      </c>
      <c r="BF64" s="85">
        <f t="shared" si="10"/>
        <v>0</v>
      </c>
      <c r="BG64" s="85">
        <f t="shared" si="10"/>
        <v>6.8</v>
      </c>
      <c r="BH64" s="85">
        <f t="shared" si="10"/>
        <v>0</v>
      </c>
      <c r="BI64" s="85"/>
      <c r="BJ64" s="78">
        <f t="shared" si="7"/>
        <v>1.00000000009004E-3</v>
      </c>
      <c r="BK64" s="81"/>
      <c r="BL64" s="87">
        <v>13</v>
      </c>
      <c r="BM64" s="79">
        <f t="shared" si="2"/>
        <v>0</v>
      </c>
      <c r="BN64" s="88"/>
      <c r="BO64" s="88"/>
    </row>
    <row r="65" spans="1:67" s="4" customFormat="1" ht="31.2" x14ac:dyDescent="0.3">
      <c r="A65" s="48">
        <v>1</v>
      </c>
      <c r="B65" s="42" t="s">
        <v>283</v>
      </c>
      <c r="C65" s="43" t="s">
        <v>28</v>
      </c>
      <c r="D65" s="41">
        <v>5</v>
      </c>
      <c r="E65" s="41"/>
      <c r="F65" s="41">
        <v>5</v>
      </c>
      <c r="G65" s="41">
        <v>0</v>
      </c>
      <c r="H65" s="41"/>
      <c r="I65" s="39"/>
      <c r="J65" s="41">
        <v>5</v>
      </c>
      <c r="K65" s="42" t="s">
        <v>896</v>
      </c>
      <c r="L65" s="42" t="s">
        <v>58</v>
      </c>
      <c r="M65" s="43">
        <v>5</v>
      </c>
      <c r="N65" s="43">
        <v>56</v>
      </c>
      <c r="O65" s="43"/>
      <c r="P65" s="105"/>
      <c r="Q65" s="84"/>
      <c r="R65" s="84"/>
      <c r="S65" s="84"/>
      <c r="T65" s="84"/>
      <c r="U65" s="84"/>
      <c r="V65" s="84"/>
      <c r="W65" s="84"/>
      <c r="X65" s="84">
        <v>4</v>
      </c>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v>1</v>
      </c>
      <c r="BF65" s="84"/>
      <c r="BG65" s="84"/>
      <c r="BH65" s="84"/>
      <c r="BI65" s="84"/>
      <c r="BJ65" s="78">
        <f t="shared" si="7"/>
        <v>0</v>
      </c>
      <c r="BK65" s="84"/>
      <c r="BL65" s="44">
        <v>13</v>
      </c>
      <c r="BM65" s="79">
        <f t="shared" si="2"/>
        <v>0</v>
      </c>
      <c r="BN65" s="75"/>
      <c r="BO65" s="75"/>
    </row>
    <row r="66" spans="1:67" s="4" customFormat="1" x14ac:dyDescent="0.3">
      <c r="A66" s="48">
        <v>2</v>
      </c>
      <c r="B66" s="42" t="s">
        <v>283</v>
      </c>
      <c r="C66" s="43" t="s">
        <v>28</v>
      </c>
      <c r="D66" s="41">
        <v>6.7</v>
      </c>
      <c r="E66" s="41"/>
      <c r="F66" s="41">
        <v>6.7</v>
      </c>
      <c r="G66" s="41">
        <f>F66-J66</f>
        <v>2.4799999999999995</v>
      </c>
      <c r="H66" s="41"/>
      <c r="I66" s="39"/>
      <c r="J66" s="41">
        <f t="shared" ref="J66:J71" si="11">SUM(V66:BG66)</f>
        <v>4.2200000000000006</v>
      </c>
      <c r="K66" s="42" t="s">
        <v>904</v>
      </c>
      <c r="L66" s="42" t="s">
        <v>58</v>
      </c>
      <c r="M66" s="43">
        <v>6</v>
      </c>
      <c r="N66" s="43">
        <v>57</v>
      </c>
      <c r="O66" s="43"/>
      <c r="P66" s="105"/>
      <c r="Q66" s="84"/>
      <c r="R66" s="84"/>
      <c r="S66" s="84"/>
      <c r="T66" s="84"/>
      <c r="U66" s="84"/>
      <c r="V66" s="84"/>
      <c r="W66" s="84"/>
      <c r="X66" s="84"/>
      <c r="Y66" s="84"/>
      <c r="Z66" s="84">
        <v>3.1</v>
      </c>
      <c r="AA66" s="84"/>
      <c r="AB66" s="84"/>
      <c r="AC66" s="84"/>
      <c r="AD66" s="84"/>
      <c r="AE66" s="84"/>
      <c r="AF66" s="84"/>
      <c r="AG66" s="84"/>
      <c r="AH66" s="84"/>
      <c r="AI66" s="84"/>
      <c r="AJ66" s="84"/>
      <c r="AK66" s="84"/>
      <c r="AL66" s="84"/>
      <c r="AM66" s="84"/>
      <c r="AN66" s="84"/>
      <c r="AO66" s="84"/>
      <c r="AP66" s="84"/>
      <c r="AQ66" s="84">
        <v>1.1200000000000001</v>
      </c>
      <c r="AR66" s="84"/>
      <c r="AS66" s="84"/>
      <c r="AT66" s="84"/>
      <c r="AU66" s="84"/>
      <c r="AV66" s="84"/>
      <c r="AW66" s="84"/>
      <c r="AX66" s="84"/>
      <c r="AY66" s="84"/>
      <c r="AZ66" s="84"/>
      <c r="BA66" s="84"/>
      <c r="BB66" s="84"/>
      <c r="BC66" s="84"/>
      <c r="BD66" s="84"/>
      <c r="BE66" s="84"/>
      <c r="BF66" s="84"/>
      <c r="BG66" s="84"/>
      <c r="BH66" s="84"/>
      <c r="BI66" s="84"/>
      <c r="BJ66" s="78">
        <f t="shared" si="7"/>
        <v>0</v>
      </c>
      <c r="BK66" s="84"/>
      <c r="BL66" s="44">
        <v>13</v>
      </c>
      <c r="BM66" s="79">
        <f t="shared" si="2"/>
        <v>0</v>
      </c>
      <c r="BN66" s="75"/>
      <c r="BO66" s="75"/>
    </row>
    <row r="67" spans="1:67" s="4" customFormat="1" ht="31.2" x14ac:dyDescent="0.3">
      <c r="A67" s="48">
        <v>3</v>
      </c>
      <c r="B67" s="42" t="s">
        <v>594</v>
      </c>
      <c r="C67" s="43" t="s">
        <v>28</v>
      </c>
      <c r="D67" s="41">
        <v>5</v>
      </c>
      <c r="E67" s="41"/>
      <c r="F67" s="41">
        <v>5</v>
      </c>
      <c r="G67" s="41">
        <v>0</v>
      </c>
      <c r="H67" s="41"/>
      <c r="I67" s="39"/>
      <c r="J67" s="41">
        <f t="shared" si="11"/>
        <v>5</v>
      </c>
      <c r="K67" s="42" t="s">
        <v>905</v>
      </c>
      <c r="L67" s="42" t="s">
        <v>58</v>
      </c>
      <c r="M67" s="43">
        <v>7</v>
      </c>
      <c r="N67" s="43">
        <v>58</v>
      </c>
      <c r="O67" s="43"/>
      <c r="P67" s="105"/>
      <c r="Q67" s="84"/>
      <c r="R67" s="84"/>
      <c r="S67" s="84"/>
      <c r="T67" s="84"/>
      <c r="U67" s="84"/>
      <c r="V67" s="84"/>
      <c r="W67" s="84"/>
      <c r="X67" s="84">
        <v>5</v>
      </c>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78">
        <f t="shared" si="7"/>
        <v>0</v>
      </c>
      <c r="BK67" s="84"/>
      <c r="BL67" s="44">
        <v>13</v>
      </c>
      <c r="BM67" s="79">
        <f t="shared" si="2"/>
        <v>0</v>
      </c>
      <c r="BN67" s="75"/>
      <c r="BO67" s="75"/>
    </row>
    <row r="68" spans="1:67" s="4" customFormat="1" x14ac:dyDescent="0.3">
      <c r="A68" s="48">
        <v>4</v>
      </c>
      <c r="B68" s="42" t="s">
        <v>283</v>
      </c>
      <c r="C68" s="95" t="s">
        <v>28</v>
      </c>
      <c r="D68" s="40">
        <v>26.4</v>
      </c>
      <c r="E68" s="40"/>
      <c r="F68" s="40">
        <v>26.4</v>
      </c>
      <c r="G68" s="40"/>
      <c r="H68" s="41"/>
      <c r="I68" s="39"/>
      <c r="J68" s="41">
        <f t="shared" si="11"/>
        <v>26.4</v>
      </c>
      <c r="K68" s="102" t="s">
        <v>906</v>
      </c>
      <c r="L68" s="42" t="s">
        <v>58</v>
      </c>
      <c r="M68" s="43">
        <v>19</v>
      </c>
      <c r="N68" s="43">
        <v>59</v>
      </c>
      <c r="O68" s="43"/>
      <c r="P68" s="123"/>
      <c r="Q68" s="84"/>
      <c r="R68" s="84"/>
      <c r="S68" s="84"/>
      <c r="T68" s="84"/>
      <c r="U68" s="84"/>
      <c r="V68" s="84"/>
      <c r="W68" s="84"/>
      <c r="X68" s="84"/>
      <c r="Y68" s="84"/>
      <c r="Z68" s="84"/>
      <c r="AA68" s="84">
        <v>26.4</v>
      </c>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78">
        <f t="shared" ref="BJ68:BJ99" si="12">D68-E68-F68</f>
        <v>0</v>
      </c>
      <c r="BK68" s="84"/>
      <c r="BL68" s="44">
        <v>13</v>
      </c>
      <c r="BM68" s="79">
        <f t="shared" ref="BM68:BM133" si="13">J68-SUM(V68:BH68)</f>
        <v>0</v>
      </c>
      <c r="BN68" s="75"/>
      <c r="BO68" s="75"/>
    </row>
    <row r="69" spans="1:67" s="4" customFormat="1" x14ac:dyDescent="0.3">
      <c r="A69" s="48">
        <v>5</v>
      </c>
      <c r="B69" s="42" t="s">
        <v>283</v>
      </c>
      <c r="C69" s="48" t="s">
        <v>64</v>
      </c>
      <c r="D69" s="39">
        <v>1.7</v>
      </c>
      <c r="E69" s="39"/>
      <c r="F69" s="39">
        <v>1.7</v>
      </c>
      <c r="G69" s="39">
        <v>0.23</v>
      </c>
      <c r="H69" s="41"/>
      <c r="I69" s="39"/>
      <c r="J69" s="41">
        <f t="shared" si="11"/>
        <v>1.47</v>
      </c>
      <c r="K69" s="42" t="s">
        <v>907</v>
      </c>
      <c r="L69" s="42" t="s">
        <v>58</v>
      </c>
      <c r="M69" s="44">
        <v>20</v>
      </c>
      <c r="N69" s="44">
        <v>60</v>
      </c>
      <c r="O69" s="44"/>
      <c r="P69" s="105"/>
      <c r="Q69" s="84"/>
      <c r="R69" s="84"/>
      <c r="S69" s="84"/>
      <c r="T69" s="84"/>
      <c r="U69" s="84"/>
      <c r="V69" s="84"/>
      <c r="W69" s="84"/>
      <c r="X69" s="84"/>
      <c r="Y69" s="84"/>
      <c r="Z69" s="84">
        <v>1.22</v>
      </c>
      <c r="AA69" s="84"/>
      <c r="AB69" s="84">
        <v>0.25</v>
      </c>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78">
        <f t="shared" si="12"/>
        <v>0</v>
      </c>
      <c r="BK69" s="84"/>
      <c r="BL69" s="44">
        <v>13</v>
      </c>
      <c r="BM69" s="79">
        <f t="shared" si="13"/>
        <v>0</v>
      </c>
      <c r="BN69" s="75"/>
      <c r="BO69" s="75"/>
    </row>
    <row r="70" spans="1:67" s="4" customFormat="1" x14ac:dyDescent="0.3">
      <c r="A70" s="48">
        <v>6</v>
      </c>
      <c r="B70" s="42" t="s">
        <v>283</v>
      </c>
      <c r="C70" s="48" t="s">
        <v>64</v>
      </c>
      <c r="D70" s="39">
        <v>4.3</v>
      </c>
      <c r="E70" s="39"/>
      <c r="F70" s="39">
        <v>4.3</v>
      </c>
      <c r="G70" s="39">
        <v>2</v>
      </c>
      <c r="H70" s="40"/>
      <c r="I70" s="39"/>
      <c r="J70" s="41">
        <f t="shared" si="11"/>
        <v>2.2999999999999998</v>
      </c>
      <c r="K70" s="42" t="s">
        <v>908</v>
      </c>
      <c r="L70" s="42" t="s">
        <v>58</v>
      </c>
      <c r="M70" s="44">
        <v>21</v>
      </c>
      <c r="N70" s="44">
        <v>61</v>
      </c>
      <c r="O70" s="44"/>
      <c r="P70" s="124"/>
      <c r="Q70" s="84"/>
      <c r="R70" s="84"/>
      <c r="S70" s="84"/>
      <c r="T70" s="84"/>
      <c r="U70" s="84"/>
      <c r="V70" s="84"/>
      <c r="W70" s="84"/>
      <c r="X70" s="84"/>
      <c r="Y70" s="84"/>
      <c r="Z70" s="84">
        <v>0.5</v>
      </c>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v>1.3</v>
      </c>
      <c r="BE70" s="84">
        <v>0.5</v>
      </c>
      <c r="BF70" s="84"/>
      <c r="BG70" s="84"/>
      <c r="BH70" s="84"/>
      <c r="BI70" s="84"/>
      <c r="BJ70" s="78">
        <f t="shared" si="12"/>
        <v>0</v>
      </c>
      <c r="BK70" s="84"/>
      <c r="BL70" s="44">
        <v>13</v>
      </c>
      <c r="BM70" s="79">
        <f t="shared" si="13"/>
        <v>0</v>
      </c>
      <c r="BN70" s="75"/>
      <c r="BO70" s="75"/>
    </row>
    <row r="71" spans="1:67" s="4" customFormat="1" x14ac:dyDescent="0.3">
      <c r="A71" s="48">
        <v>7</v>
      </c>
      <c r="B71" s="42" t="s">
        <v>283</v>
      </c>
      <c r="C71" s="48" t="s">
        <v>28</v>
      </c>
      <c r="D71" s="39">
        <v>4.0999999999999996</v>
      </c>
      <c r="E71" s="41"/>
      <c r="F71" s="39">
        <v>4.0999999999999996</v>
      </c>
      <c r="G71" s="41">
        <v>1</v>
      </c>
      <c r="H71" s="41"/>
      <c r="I71" s="39"/>
      <c r="J71" s="41">
        <f t="shared" si="11"/>
        <v>3.1</v>
      </c>
      <c r="K71" s="42" t="s">
        <v>909</v>
      </c>
      <c r="L71" s="42" t="s">
        <v>58</v>
      </c>
      <c r="M71" s="44">
        <v>29</v>
      </c>
      <c r="N71" s="44">
        <v>62</v>
      </c>
      <c r="O71" s="44"/>
      <c r="P71" s="95"/>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v>3.1</v>
      </c>
      <c r="BF71" s="84"/>
      <c r="BG71" s="84"/>
      <c r="BH71" s="84"/>
      <c r="BI71" s="84"/>
      <c r="BJ71" s="78">
        <f t="shared" si="12"/>
        <v>0</v>
      </c>
      <c r="BK71" s="84"/>
      <c r="BL71" s="44">
        <v>13</v>
      </c>
      <c r="BM71" s="79">
        <f t="shared" si="13"/>
        <v>0</v>
      </c>
      <c r="BN71" s="75"/>
      <c r="BO71" s="75"/>
    </row>
    <row r="72" spans="1:67" s="4" customFormat="1" x14ac:dyDescent="0.3">
      <c r="A72" s="48">
        <v>8</v>
      </c>
      <c r="B72" s="42" t="s">
        <v>283</v>
      </c>
      <c r="C72" s="43" t="s">
        <v>28</v>
      </c>
      <c r="D72" s="41">
        <v>5</v>
      </c>
      <c r="E72" s="41"/>
      <c r="F72" s="41">
        <v>5</v>
      </c>
      <c r="G72" s="41">
        <v>4</v>
      </c>
      <c r="H72" s="41"/>
      <c r="I72" s="39"/>
      <c r="J72" s="41">
        <v>1</v>
      </c>
      <c r="K72" s="42" t="s">
        <v>912</v>
      </c>
      <c r="L72" s="117" t="s">
        <v>67</v>
      </c>
      <c r="M72" s="43">
        <v>43</v>
      </c>
      <c r="N72" s="43">
        <v>63</v>
      </c>
      <c r="O72" s="43"/>
      <c r="P72" s="48"/>
      <c r="Q72" s="115"/>
      <c r="R72" s="115"/>
      <c r="S72" s="115"/>
      <c r="T72" s="115"/>
      <c r="U72" s="115"/>
      <c r="V72" s="115"/>
      <c r="W72" s="115"/>
      <c r="X72" s="115"/>
      <c r="Y72" s="115"/>
      <c r="Z72" s="115"/>
      <c r="AA72" s="115">
        <v>0.5</v>
      </c>
      <c r="AB72" s="115"/>
      <c r="AC72" s="115"/>
      <c r="AD72" s="115"/>
      <c r="AE72" s="115"/>
      <c r="AF72" s="115"/>
      <c r="AG72" s="115"/>
      <c r="AH72" s="115"/>
      <c r="AI72" s="115"/>
      <c r="AJ72" s="115"/>
      <c r="AK72" s="115"/>
      <c r="AL72" s="115"/>
      <c r="AM72" s="115"/>
      <c r="AN72" s="115"/>
      <c r="AO72" s="115"/>
      <c r="AP72" s="115"/>
      <c r="AQ72" s="115">
        <v>0.5</v>
      </c>
      <c r="AR72" s="115"/>
      <c r="AS72" s="115"/>
      <c r="AT72" s="115"/>
      <c r="AU72" s="115"/>
      <c r="AV72" s="115"/>
      <c r="AW72" s="115"/>
      <c r="AX72" s="115"/>
      <c r="AY72" s="115"/>
      <c r="AZ72" s="115"/>
      <c r="BA72" s="115"/>
      <c r="BB72" s="115"/>
      <c r="BC72" s="115"/>
      <c r="BD72" s="115"/>
      <c r="BE72" s="115"/>
      <c r="BF72" s="115"/>
      <c r="BG72" s="115"/>
      <c r="BH72" s="115"/>
      <c r="BI72" s="115"/>
      <c r="BJ72" s="78">
        <f t="shared" si="12"/>
        <v>0</v>
      </c>
      <c r="BK72" s="115"/>
      <c r="BL72" s="44">
        <v>13</v>
      </c>
      <c r="BM72" s="79">
        <f t="shared" si="13"/>
        <v>0</v>
      </c>
      <c r="BN72" s="75"/>
      <c r="BO72" s="75"/>
    </row>
    <row r="73" spans="1:67" s="4" customFormat="1" x14ac:dyDescent="0.3">
      <c r="A73" s="48">
        <v>9</v>
      </c>
      <c r="B73" s="42" t="s">
        <v>283</v>
      </c>
      <c r="C73" s="43" t="s">
        <v>28</v>
      </c>
      <c r="D73" s="41">
        <v>6.4</v>
      </c>
      <c r="E73" s="41"/>
      <c r="F73" s="41">
        <v>6.4</v>
      </c>
      <c r="G73" s="41">
        <v>2.2000000000000002</v>
      </c>
      <c r="H73" s="41"/>
      <c r="I73" s="39"/>
      <c r="J73" s="41">
        <v>4.2</v>
      </c>
      <c r="K73" s="42" t="s">
        <v>914</v>
      </c>
      <c r="L73" s="117" t="s">
        <v>67</v>
      </c>
      <c r="M73" s="43">
        <v>13</v>
      </c>
      <c r="N73" s="43">
        <v>64</v>
      </c>
      <c r="O73" s="43"/>
      <c r="P73" s="48"/>
      <c r="Q73" s="115"/>
      <c r="R73" s="115"/>
      <c r="S73" s="115"/>
      <c r="T73" s="115"/>
      <c r="U73" s="115"/>
      <c r="V73" s="115"/>
      <c r="W73" s="115"/>
      <c r="X73" s="115"/>
      <c r="Y73" s="115"/>
      <c r="Z73" s="115"/>
      <c r="AA73" s="115">
        <v>3.4</v>
      </c>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v>0.8</v>
      </c>
      <c r="BF73" s="115"/>
      <c r="BG73" s="115"/>
      <c r="BH73" s="115"/>
      <c r="BI73" s="115"/>
      <c r="BJ73" s="78">
        <f t="shared" si="12"/>
        <v>0</v>
      </c>
      <c r="BK73" s="115"/>
      <c r="BL73" s="44">
        <v>13</v>
      </c>
      <c r="BM73" s="79">
        <f t="shared" si="13"/>
        <v>0</v>
      </c>
      <c r="BN73" s="75"/>
      <c r="BO73" s="75"/>
    </row>
    <row r="74" spans="1:67" s="4" customFormat="1" x14ac:dyDescent="0.3">
      <c r="A74" s="48">
        <v>10</v>
      </c>
      <c r="B74" s="42" t="s">
        <v>283</v>
      </c>
      <c r="C74" s="43" t="s">
        <v>28</v>
      </c>
      <c r="D74" s="41">
        <v>7</v>
      </c>
      <c r="E74" s="41">
        <v>5</v>
      </c>
      <c r="F74" s="41">
        <v>2</v>
      </c>
      <c r="G74" s="41">
        <v>0.8</v>
      </c>
      <c r="H74" s="41"/>
      <c r="I74" s="39"/>
      <c r="J74" s="41">
        <v>1.2</v>
      </c>
      <c r="K74" s="42" t="s">
        <v>925</v>
      </c>
      <c r="L74" s="117" t="s">
        <v>67</v>
      </c>
      <c r="M74" s="43">
        <v>11</v>
      </c>
      <c r="N74" s="43">
        <v>65</v>
      </c>
      <c r="O74" s="43"/>
      <c r="P74" s="48"/>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v>0.2</v>
      </c>
      <c r="AR74" s="115"/>
      <c r="AS74" s="115"/>
      <c r="AT74" s="115"/>
      <c r="AU74" s="115"/>
      <c r="AV74" s="115"/>
      <c r="AW74" s="115"/>
      <c r="AX74" s="115"/>
      <c r="AY74" s="115"/>
      <c r="AZ74" s="115"/>
      <c r="BA74" s="115"/>
      <c r="BB74" s="115"/>
      <c r="BC74" s="115"/>
      <c r="BD74" s="115">
        <v>1</v>
      </c>
      <c r="BE74" s="115"/>
      <c r="BF74" s="115"/>
      <c r="BG74" s="115"/>
      <c r="BH74" s="115"/>
      <c r="BI74" s="115"/>
      <c r="BJ74" s="78">
        <f t="shared" si="12"/>
        <v>0</v>
      </c>
      <c r="BK74" s="115"/>
      <c r="BL74" s="44">
        <v>13</v>
      </c>
      <c r="BM74" s="79">
        <f t="shared" si="13"/>
        <v>0</v>
      </c>
      <c r="BN74" s="75"/>
      <c r="BO74" s="75"/>
    </row>
    <row r="75" spans="1:67" s="4" customFormat="1" x14ac:dyDescent="0.3">
      <c r="A75" s="48">
        <v>11</v>
      </c>
      <c r="B75" s="42" t="s">
        <v>595</v>
      </c>
      <c r="C75" s="43" t="s">
        <v>28</v>
      </c>
      <c r="D75" s="39">
        <v>5.29</v>
      </c>
      <c r="E75" s="39"/>
      <c r="F75" s="39">
        <v>5.29</v>
      </c>
      <c r="G75" s="39"/>
      <c r="H75" s="39"/>
      <c r="I75" s="39"/>
      <c r="J75" s="39">
        <v>5.29</v>
      </c>
      <c r="K75" s="117" t="s">
        <v>67</v>
      </c>
      <c r="L75" s="117" t="s">
        <v>67</v>
      </c>
      <c r="M75" s="43">
        <v>49</v>
      </c>
      <c r="N75" s="43">
        <v>66</v>
      </c>
      <c r="O75" s="43"/>
      <c r="P75" s="48"/>
      <c r="Q75" s="48"/>
      <c r="R75" s="48"/>
      <c r="S75" s="48"/>
      <c r="T75" s="48"/>
      <c r="U75" s="48"/>
      <c r="V75" s="48"/>
      <c r="W75" s="48"/>
      <c r="X75" s="48"/>
      <c r="Y75" s="48"/>
      <c r="Z75" s="48">
        <v>2.72</v>
      </c>
      <c r="AA75" s="48">
        <v>1.57</v>
      </c>
      <c r="AB75" s="48">
        <v>1</v>
      </c>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78">
        <f t="shared" si="12"/>
        <v>0</v>
      </c>
      <c r="BK75" s="115"/>
      <c r="BL75" s="44">
        <v>13</v>
      </c>
      <c r="BM75" s="79">
        <f t="shared" si="13"/>
        <v>0</v>
      </c>
      <c r="BN75" s="75"/>
      <c r="BO75" s="75"/>
    </row>
    <row r="76" spans="1:67" s="4" customFormat="1" x14ac:dyDescent="0.3">
      <c r="A76" s="48">
        <v>12</v>
      </c>
      <c r="B76" s="92" t="s">
        <v>595</v>
      </c>
      <c r="C76" s="48" t="s">
        <v>28</v>
      </c>
      <c r="D76" s="39">
        <f>6+3.65+2.84</f>
        <v>12.49</v>
      </c>
      <c r="E76" s="39"/>
      <c r="F76" s="39">
        <f>D76</f>
        <v>12.49</v>
      </c>
      <c r="G76" s="39">
        <v>5</v>
      </c>
      <c r="H76" s="41"/>
      <c r="I76" s="39"/>
      <c r="J76" s="107">
        <v>7.49</v>
      </c>
      <c r="K76" s="42" t="s">
        <v>83</v>
      </c>
      <c r="L76" s="42" t="s">
        <v>81</v>
      </c>
      <c r="M76" s="48">
        <v>34</v>
      </c>
      <c r="N76" s="48">
        <v>67</v>
      </c>
      <c r="O76" s="48"/>
      <c r="P76" s="84"/>
      <c r="Q76" s="84"/>
      <c r="R76" s="84"/>
      <c r="S76" s="84"/>
      <c r="T76" s="84"/>
      <c r="U76" s="84"/>
      <c r="V76" s="84"/>
      <c r="W76" s="84"/>
      <c r="X76" s="84"/>
      <c r="Y76" s="84"/>
      <c r="Z76" s="84">
        <v>2</v>
      </c>
      <c r="AA76" s="84"/>
      <c r="AB76" s="84">
        <v>5</v>
      </c>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v>0.49</v>
      </c>
      <c r="BF76" s="84"/>
      <c r="BG76" s="84"/>
      <c r="BH76" s="84"/>
      <c r="BI76" s="84"/>
      <c r="BJ76" s="78">
        <f t="shared" si="12"/>
        <v>0</v>
      </c>
      <c r="BK76" s="84"/>
      <c r="BL76" s="44">
        <v>13</v>
      </c>
      <c r="BM76" s="79">
        <f t="shared" si="13"/>
        <v>0</v>
      </c>
      <c r="BN76" s="75"/>
      <c r="BO76" s="75"/>
    </row>
    <row r="77" spans="1:67" s="4" customFormat="1" x14ac:dyDescent="0.3">
      <c r="A77" s="48">
        <v>13</v>
      </c>
      <c r="B77" s="42" t="s">
        <v>595</v>
      </c>
      <c r="C77" s="48" t="s">
        <v>28</v>
      </c>
      <c r="D77" s="39">
        <v>3.5</v>
      </c>
      <c r="E77" s="39"/>
      <c r="F77" s="39">
        <v>3.5</v>
      </c>
      <c r="G77" s="41">
        <v>1</v>
      </c>
      <c r="H77" s="41"/>
      <c r="I77" s="39"/>
      <c r="J77" s="41">
        <v>2.5</v>
      </c>
      <c r="K77" s="94" t="s">
        <v>878</v>
      </c>
      <c r="L77" s="42" t="s">
        <v>91</v>
      </c>
      <c r="M77" s="48">
        <v>2</v>
      </c>
      <c r="N77" s="48">
        <v>68</v>
      </c>
      <c r="O77" s="48"/>
      <c r="P77" s="42"/>
      <c r="Q77" s="84"/>
      <c r="R77" s="84"/>
      <c r="S77" s="84"/>
      <c r="T77" s="84"/>
      <c r="U77" s="84"/>
      <c r="V77" s="84"/>
      <c r="W77" s="84"/>
      <c r="X77" s="84"/>
      <c r="Y77" s="84"/>
      <c r="Z77" s="84">
        <v>0.16</v>
      </c>
      <c r="AA77" s="84"/>
      <c r="AB77" s="84">
        <v>1</v>
      </c>
      <c r="AC77" s="84"/>
      <c r="AD77" s="84"/>
      <c r="AE77" s="84"/>
      <c r="AF77" s="84"/>
      <c r="AG77" s="84"/>
      <c r="AH77" s="84"/>
      <c r="AI77" s="84"/>
      <c r="AJ77" s="84"/>
      <c r="AK77" s="84"/>
      <c r="AL77" s="84"/>
      <c r="AM77" s="84"/>
      <c r="AN77" s="84"/>
      <c r="AO77" s="84"/>
      <c r="AP77" s="84"/>
      <c r="AQ77" s="84"/>
      <c r="AR77" s="84">
        <v>0.7</v>
      </c>
      <c r="AS77" s="84"/>
      <c r="AT77" s="84"/>
      <c r="AU77" s="84"/>
      <c r="AV77" s="84"/>
      <c r="AW77" s="84"/>
      <c r="AX77" s="84"/>
      <c r="AY77" s="84"/>
      <c r="AZ77" s="84"/>
      <c r="BA77" s="84"/>
      <c r="BB77" s="84"/>
      <c r="BC77" s="84"/>
      <c r="BD77" s="84"/>
      <c r="BE77" s="84">
        <v>0.64</v>
      </c>
      <c r="BF77" s="84"/>
      <c r="BG77" s="84"/>
      <c r="BH77" s="84"/>
      <c r="BI77" s="84"/>
      <c r="BJ77" s="78">
        <f t="shared" si="12"/>
        <v>0</v>
      </c>
      <c r="BK77" s="84"/>
      <c r="BL77" s="44">
        <v>13</v>
      </c>
      <c r="BM77" s="79">
        <f t="shared" si="13"/>
        <v>0</v>
      </c>
      <c r="BN77" s="75"/>
      <c r="BO77" s="75"/>
    </row>
    <row r="78" spans="1:67" s="14" customFormat="1" x14ac:dyDescent="0.3">
      <c r="A78" s="48">
        <v>14</v>
      </c>
      <c r="B78" s="42" t="s">
        <v>283</v>
      </c>
      <c r="C78" s="39" t="s">
        <v>28</v>
      </c>
      <c r="D78" s="39">
        <v>18.7</v>
      </c>
      <c r="E78" s="39"/>
      <c r="F78" s="39">
        <v>18.7</v>
      </c>
      <c r="G78" s="39"/>
      <c r="H78" s="39">
        <v>0</v>
      </c>
      <c r="I78" s="39"/>
      <c r="J78" s="39">
        <v>18.7</v>
      </c>
      <c r="K78" s="50" t="s">
        <v>134</v>
      </c>
      <c r="L78" s="122" t="s">
        <v>125</v>
      </c>
      <c r="M78" s="99">
        <v>26</v>
      </c>
      <c r="N78" s="99">
        <v>69</v>
      </c>
      <c r="O78" s="99"/>
      <c r="P78" s="39"/>
      <c r="Q78" s="39"/>
      <c r="R78" s="39"/>
      <c r="S78" s="39"/>
      <c r="T78" s="39"/>
      <c r="U78" s="39"/>
      <c r="V78" s="39"/>
      <c r="W78" s="39"/>
      <c r="X78" s="39">
        <v>7.8</v>
      </c>
      <c r="Y78" s="39"/>
      <c r="Z78" s="39"/>
      <c r="AA78" s="39"/>
      <c r="AB78" s="39"/>
      <c r="AC78" s="39"/>
      <c r="AD78" s="39">
        <v>6.7</v>
      </c>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v>4.2</v>
      </c>
      <c r="BF78" s="39"/>
      <c r="BG78" s="39"/>
      <c r="BH78" s="39"/>
      <c r="BI78" s="39"/>
      <c r="BJ78" s="78">
        <f t="shared" si="12"/>
        <v>0</v>
      </c>
      <c r="BK78" s="39"/>
      <c r="BL78" s="44">
        <v>13</v>
      </c>
      <c r="BM78" s="79">
        <f t="shared" si="13"/>
        <v>0</v>
      </c>
      <c r="BN78" s="75"/>
      <c r="BO78" s="75"/>
    </row>
    <row r="79" spans="1:67" s="4" customFormat="1" ht="31.2" x14ac:dyDescent="0.3">
      <c r="A79" s="48">
        <v>15</v>
      </c>
      <c r="B79" s="42" t="s">
        <v>283</v>
      </c>
      <c r="C79" s="39" t="s">
        <v>28</v>
      </c>
      <c r="D79" s="39">
        <v>10</v>
      </c>
      <c r="E79" s="39"/>
      <c r="F79" s="39">
        <v>10</v>
      </c>
      <c r="G79" s="39"/>
      <c r="H79" s="39">
        <v>0</v>
      </c>
      <c r="I79" s="39"/>
      <c r="J79" s="39">
        <v>10</v>
      </c>
      <c r="K79" s="50" t="s">
        <v>1250</v>
      </c>
      <c r="L79" s="122" t="s">
        <v>125</v>
      </c>
      <c r="M79" s="99">
        <v>41</v>
      </c>
      <c r="N79" s="99">
        <v>70</v>
      </c>
      <c r="O79" s="99"/>
      <c r="P79" s="39"/>
      <c r="Q79" s="39"/>
      <c r="R79" s="39"/>
      <c r="S79" s="39"/>
      <c r="T79" s="39"/>
      <c r="U79" s="39"/>
      <c r="V79" s="39"/>
      <c r="W79" s="39"/>
      <c r="X79" s="39"/>
      <c r="Y79" s="39"/>
      <c r="Z79" s="39">
        <v>3.2</v>
      </c>
      <c r="AA79" s="84"/>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v>6.8</v>
      </c>
      <c r="BH79" s="39"/>
      <c r="BI79" s="39"/>
      <c r="BJ79" s="78">
        <f t="shared" si="12"/>
        <v>0</v>
      </c>
      <c r="BK79" s="39"/>
      <c r="BL79" s="44">
        <v>13</v>
      </c>
      <c r="BM79" s="79">
        <f t="shared" si="13"/>
        <v>0</v>
      </c>
      <c r="BN79" s="75"/>
      <c r="BO79" s="75"/>
    </row>
    <row r="80" spans="1:67" s="59" customFormat="1" ht="31.2" x14ac:dyDescent="0.3">
      <c r="A80" s="48">
        <v>16</v>
      </c>
      <c r="B80" s="50" t="s">
        <v>815</v>
      </c>
      <c r="C80" s="39" t="s">
        <v>28</v>
      </c>
      <c r="D80" s="41">
        <v>55</v>
      </c>
      <c r="E80" s="41"/>
      <c r="F80" s="41">
        <v>55</v>
      </c>
      <c r="G80" s="39"/>
      <c r="H80" s="39"/>
      <c r="I80" s="39"/>
      <c r="J80" s="39">
        <v>55</v>
      </c>
      <c r="K80" s="50" t="s">
        <v>175</v>
      </c>
      <c r="L80" s="50" t="s">
        <v>154</v>
      </c>
      <c r="M80" s="110">
        <v>2</v>
      </c>
      <c r="N80" s="110">
        <v>71</v>
      </c>
      <c r="O80" s="110"/>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v>20</v>
      </c>
      <c r="BD80" s="39">
        <v>20</v>
      </c>
      <c r="BE80" s="39">
        <v>15</v>
      </c>
      <c r="BF80" s="39"/>
      <c r="BG80" s="39"/>
      <c r="BH80" s="39"/>
      <c r="BI80" s="39"/>
      <c r="BJ80" s="78">
        <f t="shared" si="12"/>
        <v>0</v>
      </c>
      <c r="BK80" s="39"/>
      <c r="BL80" s="44">
        <v>11</v>
      </c>
      <c r="BM80" s="79">
        <f t="shared" si="13"/>
        <v>0</v>
      </c>
      <c r="BN80" s="75"/>
      <c r="BO80" s="75"/>
    </row>
    <row r="81" spans="1:67" s="4" customFormat="1" x14ac:dyDescent="0.3">
      <c r="A81" s="48">
        <v>17</v>
      </c>
      <c r="B81" s="42" t="s">
        <v>283</v>
      </c>
      <c r="C81" s="39" t="s">
        <v>28</v>
      </c>
      <c r="D81" s="39">
        <v>23</v>
      </c>
      <c r="E81" s="39"/>
      <c r="F81" s="39">
        <v>23</v>
      </c>
      <c r="G81" s="39"/>
      <c r="H81" s="39"/>
      <c r="I81" s="39"/>
      <c r="J81" s="39">
        <v>23</v>
      </c>
      <c r="K81" s="50" t="s">
        <v>163</v>
      </c>
      <c r="L81" s="50" t="s">
        <v>154</v>
      </c>
      <c r="M81" s="99">
        <v>34</v>
      </c>
      <c r="N81" s="99">
        <v>35</v>
      </c>
      <c r="O81" s="99"/>
      <c r="P81" s="39"/>
      <c r="Q81" s="39"/>
      <c r="R81" s="39"/>
      <c r="S81" s="39"/>
      <c r="T81" s="39"/>
      <c r="U81" s="39"/>
      <c r="V81" s="39"/>
      <c r="W81" s="39"/>
      <c r="X81" s="39"/>
      <c r="Y81" s="39"/>
      <c r="Z81" s="39"/>
      <c r="AA81" s="39"/>
      <c r="AB81" s="39">
        <v>23</v>
      </c>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78">
        <f>D81-E81-F81</f>
        <v>0</v>
      </c>
      <c r="BK81" s="39"/>
      <c r="BL81" s="44">
        <v>11</v>
      </c>
      <c r="BM81" s="79">
        <f>J81-SUM(V81:BH81)</f>
        <v>0</v>
      </c>
      <c r="BN81" s="75"/>
      <c r="BO81" s="75"/>
    </row>
    <row r="82" spans="1:67" s="4" customFormat="1" ht="30" customHeight="1" x14ac:dyDescent="0.3">
      <c r="A82" s="48">
        <v>18</v>
      </c>
      <c r="B82" s="42" t="s">
        <v>283</v>
      </c>
      <c r="C82" s="39" t="s">
        <v>28</v>
      </c>
      <c r="D82" s="39">
        <v>3.5</v>
      </c>
      <c r="E82" s="39"/>
      <c r="F82" s="39">
        <v>3.5</v>
      </c>
      <c r="G82" s="39">
        <v>0.5</v>
      </c>
      <c r="H82" s="39"/>
      <c r="I82" s="39"/>
      <c r="J82" s="39">
        <v>3</v>
      </c>
      <c r="K82" s="50" t="s">
        <v>158</v>
      </c>
      <c r="L82" s="50" t="s">
        <v>154</v>
      </c>
      <c r="M82" s="99">
        <v>33</v>
      </c>
      <c r="N82" s="99">
        <v>72</v>
      </c>
      <c r="O82" s="9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v>2.4</v>
      </c>
      <c r="BE82" s="39">
        <v>0.6</v>
      </c>
      <c r="BF82" s="39"/>
      <c r="BG82" s="39"/>
      <c r="BH82" s="39"/>
      <c r="BI82" s="39"/>
      <c r="BJ82" s="78">
        <f t="shared" si="12"/>
        <v>0</v>
      </c>
      <c r="BK82" s="39"/>
      <c r="BL82" s="44">
        <v>13</v>
      </c>
      <c r="BM82" s="79">
        <f t="shared" si="13"/>
        <v>0</v>
      </c>
      <c r="BN82" s="75"/>
      <c r="BO82" s="75"/>
    </row>
    <row r="83" spans="1:67" s="4" customFormat="1" ht="31.2" x14ac:dyDescent="0.3">
      <c r="A83" s="48">
        <v>19</v>
      </c>
      <c r="B83" s="50" t="s">
        <v>597</v>
      </c>
      <c r="C83" s="39" t="s">
        <v>28</v>
      </c>
      <c r="D83" s="39">
        <v>4.3</v>
      </c>
      <c r="E83" s="39"/>
      <c r="F83" s="39">
        <v>4.3</v>
      </c>
      <c r="G83" s="39">
        <v>0.2</v>
      </c>
      <c r="H83" s="39"/>
      <c r="I83" s="39"/>
      <c r="J83" s="39">
        <v>4.0999999999999996</v>
      </c>
      <c r="K83" s="50" t="s">
        <v>158</v>
      </c>
      <c r="L83" s="50" t="s">
        <v>154</v>
      </c>
      <c r="M83" s="110">
        <v>46</v>
      </c>
      <c r="N83" s="110">
        <v>73</v>
      </c>
      <c r="O83" s="110"/>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v>2.5</v>
      </c>
      <c r="BE83" s="39">
        <v>1.6</v>
      </c>
      <c r="BF83" s="39"/>
      <c r="BG83" s="39"/>
      <c r="BH83" s="39"/>
      <c r="BI83" s="39"/>
      <c r="BJ83" s="78">
        <f t="shared" si="12"/>
        <v>0</v>
      </c>
      <c r="BK83" s="39"/>
      <c r="BL83" s="44">
        <v>13</v>
      </c>
      <c r="BM83" s="79">
        <f t="shared" si="13"/>
        <v>0</v>
      </c>
      <c r="BN83" s="75"/>
      <c r="BO83" s="75"/>
    </row>
    <row r="84" spans="1:67" s="4" customFormat="1" ht="31.2" x14ac:dyDescent="0.3">
      <c r="A84" s="48">
        <v>20</v>
      </c>
      <c r="B84" s="50" t="s">
        <v>598</v>
      </c>
      <c r="C84" s="39" t="s">
        <v>28</v>
      </c>
      <c r="D84" s="39">
        <v>5.8</v>
      </c>
      <c r="E84" s="39"/>
      <c r="F84" s="39">
        <v>5.8</v>
      </c>
      <c r="G84" s="39">
        <v>2.6</v>
      </c>
      <c r="H84" s="39"/>
      <c r="I84" s="39"/>
      <c r="J84" s="39">
        <v>3.1999999999999997</v>
      </c>
      <c r="K84" s="50" t="s">
        <v>158</v>
      </c>
      <c r="L84" s="50" t="s">
        <v>154</v>
      </c>
      <c r="M84" s="110">
        <v>47</v>
      </c>
      <c r="N84" s="110">
        <v>74</v>
      </c>
      <c r="O84" s="110"/>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v>0.9</v>
      </c>
      <c r="BE84" s="39">
        <v>2.2999999999999998</v>
      </c>
      <c r="BF84" s="39"/>
      <c r="BG84" s="39"/>
      <c r="BH84" s="39"/>
      <c r="BI84" s="39"/>
      <c r="BJ84" s="78">
        <f t="shared" si="12"/>
        <v>0</v>
      </c>
      <c r="BK84" s="39"/>
      <c r="BL84" s="44">
        <v>13</v>
      </c>
      <c r="BM84" s="79">
        <f t="shared" si="13"/>
        <v>0</v>
      </c>
      <c r="BN84" s="75"/>
      <c r="BO84" s="75"/>
    </row>
    <row r="85" spans="1:67" s="4" customFormat="1" x14ac:dyDescent="0.3">
      <c r="A85" s="48">
        <v>21</v>
      </c>
      <c r="B85" s="42" t="s">
        <v>283</v>
      </c>
      <c r="C85" s="41" t="s">
        <v>28</v>
      </c>
      <c r="D85" s="41">
        <v>7.9</v>
      </c>
      <c r="E85" s="41"/>
      <c r="F85" s="41">
        <v>7.9</v>
      </c>
      <c r="G85" s="41">
        <v>4.5</v>
      </c>
      <c r="H85" s="41"/>
      <c r="I85" s="41"/>
      <c r="J85" s="39">
        <v>3.4</v>
      </c>
      <c r="K85" s="50" t="s">
        <v>962</v>
      </c>
      <c r="L85" s="50" t="s">
        <v>179</v>
      </c>
      <c r="M85" s="110">
        <v>47</v>
      </c>
      <c r="N85" s="110">
        <v>75</v>
      </c>
      <c r="O85" s="110"/>
      <c r="P85" s="50"/>
      <c r="Q85" s="50"/>
      <c r="R85" s="50"/>
      <c r="S85" s="50"/>
      <c r="T85" s="115"/>
      <c r="U85" s="115"/>
      <c r="V85" s="115"/>
      <c r="W85" s="115"/>
      <c r="X85" s="115"/>
      <c r="Y85" s="115"/>
      <c r="Z85" s="115">
        <v>3.4</v>
      </c>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78">
        <f t="shared" si="12"/>
        <v>0</v>
      </c>
      <c r="BK85" s="84"/>
      <c r="BL85" s="44">
        <v>13</v>
      </c>
      <c r="BM85" s="79">
        <f t="shared" si="13"/>
        <v>0</v>
      </c>
      <c r="BN85" s="75"/>
      <c r="BO85" s="75"/>
    </row>
    <row r="86" spans="1:67" s="4" customFormat="1" ht="31.2" x14ac:dyDescent="0.3">
      <c r="A86" s="48">
        <v>22</v>
      </c>
      <c r="B86" s="42" t="s">
        <v>283</v>
      </c>
      <c r="C86" s="39" t="s">
        <v>28</v>
      </c>
      <c r="D86" s="41">
        <v>10</v>
      </c>
      <c r="E86" s="41">
        <v>3.9</v>
      </c>
      <c r="F86" s="41">
        <v>6.1</v>
      </c>
      <c r="G86" s="41">
        <v>3.3</v>
      </c>
      <c r="H86" s="41"/>
      <c r="I86" s="41"/>
      <c r="J86" s="41">
        <v>2.8</v>
      </c>
      <c r="K86" s="50" t="s">
        <v>200</v>
      </c>
      <c r="L86" s="50" t="s">
        <v>179</v>
      </c>
      <c r="M86" s="110">
        <v>9</v>
      </c>
      <c r="N86" s="110">
        <v>76</v>
      </c>
      <c r="O86" s="110"/>
      <c r="P86" s="81"/>
      <c r="Q86" s="81"/>
      <c r="R86" s="81"/>
      <c r="S86" s="81"/>
      <c r="T86" s="81"/>
      <c r="U86" s="81"/>
      <c r="V86" s="81"/>
      <c r="W86" s="81"/>
      <c r="X86" s="81"/>
      <c r="Y86" s="81"/>
      <c r="Z86" s="81">
        <v>1.2</v>
      </c>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v>1.6</v>
      </c>
      <c r="BF86" s="81"/>
      <c r="BG86" s="81"/>
      <c r="BH86" s="81"/>
      <c r="BI86" s="81"/>
      <c r="BJ86" s="78">
        <f t="shared" si="12"/>
        <v>0</v>
      </c>
      <c r="BK86" s="84"/>
      <c r="BL86" s="44">
        <v>13</v>
      </c>
      <c r="BM86" s="79">
        <f t="shared" si="13"/>
        <v>0</v>
      </c>
      <c r="BN86" s="75"/>
      <c r="BO86" s="75"/>
    </row>
    <row r="87" spans="1:67" s="4" customFormat="1" x14ac:dyDescent="0.3">
      <c r="A87" s="48">
        <v>23</v>
      </c>
      <c r="B87" s="42" t="s">
        <v>283</v>
      </c>
      <c r="C87" s="39" t="s">
        <v>28</v>
      </c>
      <c r="D87" s="41">
        <v>10</v>
      </c>
      <c r="E87" s="41"/>
      <c r="F87" s="41">
        <v>10</v>
      </c>
      <c r="G87" s="39">
        <v>3.2</v>
      </c>
      <c r="H87" s="39"/>
      <c r="I87" s="39"/>
      <c r="J87" s="39">
        <v>6.8</v>
      </c>
      <c r="K87" s="50" t="s">
        <v>212</v>
      </c>
      <c r="L87" s="50" t="s">
        <v>208</v>
      </c>
      <c r="M87" s="110">
        <v>10</v>
      </c>
      <c r="N87" s="110">
        <v>77</v>
      </c>
      <c r="O87" s="110"/>
      <c r="P87" s="39"/>
      <c r="Q87" s="39"/>
      <c r="R87" s="39"/>
      <c r="S87" s="39"/>
      <c r="T87" s="39"/>
      <c r="U87" s="39"/>
      <c r="V87" s="39"/>
      <c r="W87" s="39"/>
      <c r="X87" s="39"/>
      <c r="Y87" s="39"/>
      <c r="Z87" s="39">
        <v>1.9</v>
      </c>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v>4.0999999999999996</v>
      </c>
      <c r="BE87" s="39">
        <v>0.8</v>
      </c>
      <c r="BF87" s="39"/>
      <c r="BG87" s="39"/>
      <c r="BH87" s="39"/>
      <c r="BI87" s="39"/>
      <c r="BJ87" s="78">
        <f t="shared" si="12"/>
        <v>0</v>
      </c>
      <c r="BK87" s="84"/>
      <c r="BL87" s="44">
        <v>13</v>
      </c>
      <c r="BM87" s="79">
        <f t="shared" si="13"/>
        <v>0</v>
      </c>
      <c r="BN87" s="75"/>
      <c r="BO87" s="75"/>
    </row>
    <row r="88" spans="1:67" s="4" customFormat="1" ht="21" customHeight="1" x14ac:dyDescent="0.3">
      <c r="A88" s="48">
        <v>24</v>
      </c>
      <c r="B88" s="42" t="s">
        <v>283</v>
      </c>
      <c r="C88" s="48" t="s">
        <v>28</v>
      </c>
      <c r="D88" s="39">
        <v>2.84</v>
      </c>
      <c r="E88" s="39"/>
      <c r="F88" s="39">
        <v>2.84</v>
      </c>
      <c r="G88" s="39"/>
      <c r="H88" s="39"/>
      <c r="I88" s="39"/>
      <c r="J88" s="39">
        <v>2.84</v>
      </c>
      <c r="K88" s="42" t="s">
        <v>953</v>
      </c>
      <c r="L88" s="42" t="s">
        <v>233</v>
      </c>
      <c r="M88" s="44">
        <v>12</v>
      </c>
      <c r="N88" s="44">
        <v>78</v>
      </c>
      <c r="O88" s="44"/>
      <c r="P88" s="84"/>
      <c r="Q88" s="84"/>
      <c r="R88" s="84"/>
      <c r="S88" s="84"/>
      <c r="T88" s="84"/>
      <c r="U88" s="84"/>
      <c r="V88" s="84"/>
      <c r="W88" s="84"/>
      <c r="X88" s="84">
        <v>2.84</v>
      </c>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118"/>
      <c r="BF88" s="84"/>
      <c r="BG88" s="84"/>
      <c r="BH88" s="84"/>
      <c r="BI88" s="84"/>
      <c r="BJ88" s="78">
        <f t="shared" si="12"/>
        <v>0</v>
      </c>
      <c r="BK88" s="97"/>
      <c r="BL88" s="44">
        <v>13</v>
      </c>
      <c r="BM88" s="79">
        <f t="shared" si="13"/>
        <v>0</v>
      </c>
      <c r="BN88" s="75"/>
      <c r="BO88" s="75"/>
    </row>
    <row r="89" spans="1:67" s="4" customFormat="1" ht="46.8" x14ac:dyDescent="0.3">
      <c r="A89" s="48">
        <v>25</v>
      </c>
      <c r="B89" s="42" t="s">
        <v>283</v>
      </c>
      <c r="C89" s="48" t="s">
        <v>28</v>
      </c>
      <c r="D89" s="41">
        <v>173.71</v>
      </c>
      <c r="E89" s="41"/>
      <c r="F89" s="41">
        <v>173.71</v>
      </c>
      <c r="G89" s="39">
        <v>30.35</v>
      </c>
      <c r="H89" s="39"/>
      <c r="I89" s="39"/>
      <c r="J89" s="39">
        <v>143.36000000000001</v>
      </c>
      <c r="K89" s="42" t="s">
        <v>953</v>
      </c>
      <c r="L89" s="42" t="s">
        <v>247</v>
      </c>
      <c r="M89" s="48">
        <v>1</v>
      </c>
      <c r="N89" s="48">
        <v>79</v>
      </c>
      <c r="O89" s="42" t="s">
        <v>1181</v>
      </c>
      <c r="P89" s="84"/>
      <c r="Q89" s="84"/>
      <c r="R89" s="84"/>
      <c r="S89" s="84"/>
      <c r="T89" s="84"/>
      <c r="U89" s="84"/>
      <c r="V89" s="84"/>
      <c r="W89" s="84"/>
      <c r="X89" s="84">
        <v>125.55</v>
      </c>
      <c r="Y89" s="84"/>
      <c r="Z89" s="84">
        <v>1.44</v>
      </c>
      <c r="AA89" s="84">
        <v>9.16</v>
      </c>
      <c r="AB89" s="84">
        <f>4.8+1.5</f>
        <v>6.3</v>
      </c>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v>0.91</v>
      </c>
      <c r="BF89" s="84"/>
      <c r="BG89" s="84"/>
      <c r="BH89" s="84"/>
      <c r="BI89" s="84"/>
      <c r="BJ89" s="78">
        <f t="shared" si="12"/>
        <v>0</v>
      </c>
      <c r="BK89" s="84"/>
      <c r="BL89" s="44">
        <v>13</v>
      </c>
      <c r="BM89" s="79">
        <f t="shared" si="13"/>
        <v>0</v>
      </c>
      <c r="BN89" s="75"/>
      <c r="BO89" s="75"/>
    </row>
    <row r="90" spans="1:67" s="4" customFormat="1" ht="33" customHeight="1" x14ac:dyDescent="0.3">
      <c r="A90" s="48">
        <v>26</v>
      </c>
      <c r="B90" s="42" t="s">
        <v>596</v>
      </c>
      <c r="C90" s="43" t="s">
        <v>28</v>
      </c>
      <c r="D90" s="39">
        <v>0.25</v>
      </c>
      <c r="E90" s="39"/>
      <c r="F90" s="39">
        <v>0.25</v>
      </c>
      <c r="G90" s="39"/>
      <c r="H90" s="39"/>
      <c r="I90" s="39"/>
      <c r="J90" s="39">
        <v>0.25</v>
      </c>
      <c r="K90" s="42" t="s">
        <v>963</v>
      </c>
      <c r="L90" s="42" t="s">
        <v>247</v>
      </c>
      <c r="M90" s="43">
        <v>33</v>
      </c>
      <c r="N90" s="43">
        <v>80</v>
      </c>
      <c r="O90" s="43"/>
      <c r="P90" s="84"/>
      <c r="Q90" s="84"/>
      <c r="R90" s="84"/>
      <c r="S90" s="84"/>
      <c r="T90" s="84"/>
      <c r="U90" s="84"/>
      <c r="V90" s="84"/>
      <c r="W90" s="84"/>
      <c r="X90" s="84"/>
      <c r="Y90" s="84"/>
      <c r="Z90" s="84"/>
      <c r="AA90" s="84"/>
      <c r="AB90" s="84"/>
      <c r="AC90" s="84"/>
      <c r="AD90" s="84"/>
      <c r="AE90" s="84">
        <v>0.25</v>
      </c>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78">
        <f t="shared" si="12"/>
        <v>0</v>
      </c>
      <c r="BK90" s="84"/>
      <c r="BL90" s="44">
        <v>13</v>
      </c>
      <c r="BM90" s="79">
        <f t="shared" si="13"/>
        <v>0</v>
      </c>
      <c r="BN90" s="75"/>
      <c r="BO90" s="75"/>
    </row>
    <row r="91" spans="1:67" s="4" customFormat="1" ht="72.75" customHeight="1" x14ac:dyDescent="0.3">
      <c r="A91" s="48">
        <v>27</v>
      </c>
      <c r="B91" s="42" t="s">
        <v>283</v>
      </c>
      <c r="C91" s="48" t="s">
        <v>28</v>
      </c>
      <c r="D91" s="39">
        <f>10.7-5.64</f>
        <v>5.0599999999999996</v>
      </c>
      <c r="E91" s="39"/>
      <c r="F91" s="39">
        <f>10.7-5.64</f>
        <v>5.0599999999999996</v>
      </c>
      <c r="G91" s="39">
        <v>2</v>
      </c>
      <c r="H91" s="39"/>
      <c r="I91" s="39"/>
      <c r="J91" s="39">
        <f>1.22+1.84</f>
        <v>3.06</v>
      </c>
      <c r="K91" s="42" t="s">
        <v>968</v>
      </c>
      <c r="L91" s="42" t="s">
        <v>280</v>
      </c>
      <c r="M91" s="48">
        <v>21</v>
      </c>
      <c r="N91" s="48">
        <v>81</v>
      </c>
      <c r="O91" s="42" t="s">
        <v>1182</v>
      </c>
      <c r="P91" s="84"/>
      <c r="Q91" s="84"/>
      <c r="R91" s="84"/>
      <c r="S91" s="84"/>
      <c r="T91" s="84"/>
      <c r="U91" s="84"/>
      <c r="V91" s="84"/>
      <c r="W91" s="84"/>
      <c r="X91" s="84"/>
      <c r="Y91" s="84"/>
      <c r="Z91" s="84">
        <v>1.84</v>
      </c>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v>0.5</v>
      </c>
      <c r="BE91" s="84">
        <f>4.86-0.99-3.15</f>
        <v>0.7200000000000002</v>
      </c>
      <c r="BF91" s="84"/>
      <c r="BG91" s="84"/>
      <c r="BH91" s="84"/>
      <c r="BI91" s="84"/>
      <c r="BJ91" s="78">
        <f t="shared" si="12"/>
        <v>0</v>
      </c>
      <c r="BK91" s="84"/>
      <c r="BL91" s="44">
        <v>13</v>
      </c>
      <c r="BM91" s="79">
        <f t="shared" si="13"/>
        <v>0</v>
      </c>
      <c r="BN91" s="75"/>
      <c r="BO91" s="75"/>
    </row>
    <row r="92" spans="1:67" s="4" customFormat="1" x14ac:dyDescent="0.3">
      <c r="A92" s="48">
        <v>28</v>
      </c>
      <c r="B92" s="42" t="s">
        <v>283</v>
      </c>
      <c r="C92" s="48" t="s">
        <v>28</v>
      </c>
      <c r="D92" s="39">
        <v>11.6</v>
      </c>
      <c r="E92" s="39"/>
      <c r="F92" s="39">
        <v>11.6</v>
      </c>
      <c r="G92" s="39">
        <v>7.75</v>
      </c>
      <c r="H92" s="39"/>
      <c r="I92" s="39"/>
      <c r="J92" s="39">
        <v>3.85</v>
      </c>
      <c r="K92" s="42" t="s">
        <v>953</v>
      </c>
      <c r="L92" s="42" t="s">
        <v>285</v>
      </c>
      <c r="M92" s="48">
        <v>11</v>
      </c>
      <c r="N92" s="48">
        <v>83</v>
      </c>
      <c r="O92" s="48"/>
      <c r="P92" s="84"/>
      <c r="Q92" s="84"/>
      <c r="R92" s="84"/>
      <c r="S92" s="84"/>
      <c r="T92" s="84"/>
      <c r="U92" s="84"/>
      <c r="V92" s="84"/>
      <c r="W92" s="84"/>
      <c r="X92" s="84">
        <v>1.28</v>
      </c>
      <c r="Y92" s="84"/>
      <c r="Z92" s="84">
        <v>0.47</v>
      </c>
      <c r="AA92" s="84">
        <v>1.51</v>
      </c>
      <c r="AB92" s="118"/>
      <c r="AC92" s="84"/>
      <c r="AD92" s="84"/>
      <c r="AE92" s="84"/>
      <c r="AF92" s="84"/>
      <c r="AG92" s="84"/>
      <c r="AH92" s="84"/>
      <c r="AI92" s="84"/>
      <c r="AJ92" s="84"/>
      <c r="AK92" s="84"/>
      <c r="AL92" s="84"/>
      <c r="AM92" s="84"/>
      <c r="AN92" s="84"/>
      <c r="AO92" s="84"/>
      <c r="AP92" s="84"/>
      <c r="AQ92" s="84"/>
      <c r="AR92" s="84">
        <f>1.27-0.68</f>
        <v>0.59</v>
      </c>
      <c r="AS92" s="84"/>
      <c r="AT92" s="84"/>
      <c r="AU92" s="84"/>
      <c r="AV92" s="84"/>
      <c r="AW92" s="84"/>
      <c r="AX92" s="84"/>
      <c r="AY92" s="84"/>
      <c r="AZ92" s="84"/>
      <c r="BA92" s="84"/>
      <c r="BB92" s="84"/>
      <c r="BC92" s="84"/>
      <c r="BD92" s="84"/>
      <c r="BE92" s="84"/>
      <c r="BF92" s="84"/>
      <c r="BG92" s="84"/>
      <c r="BH92" s="84"/>
      <c r="BI92" s="84"/>
      <c r="BJ92" s="78">
        <f t="shared" si="12"/>
        <v>0</v>
      </c>
      <c r="BK92" s="84"/>
      <c r="BL92" s="44">
        <v>13</v>
      </c>
      <c r="BM92" s="79">
        <f t="shared" si="13"/>
        <v>0</v>
      </c>
      <c r="BN92" s="75"/>
      <c r="BO92" s="75"/>
    </row>
    <row r="93" spans="1:67" s="4" customFormat="1" x14ac:dyDescent="0.3">
      <c r="A93" s="48">
        <v>29</v>
      </c>
      <c r="B93" s="42" t="s">
        <v>283</v>
      </c>
      <c r="C93" s="48" t="s">
        <v>28</v>
      </c>
      <c r="D93" s="39">
        <f>3.71+1.01+6.34+2.33+0.18+1.631+0.32+0.12</f>
        <v>15.640999999999998</v>
      </c>
      <c r="E93" s="39"/>
      <c r="F93" s="39">
        <v>15.64</v>
      </c>
      <c r="G93" s="39">
        <f>4.72-0.3+2.33+6.34+1.63+0.32+0.12</f>
        <v>15.159999999999998</v>
      </c>
      <c r="H93" s="39"/>
      <c r="I93" s="39"/>
      <c r="J93" s="39">
        <f>SUM(X93:BG93)</f>
        <v>0.48</v>
      </c>
      <c r="K93" s="92"/>
      <c r="L93" s="42" t="s">
        <v>347</v>
      </c>
      <c r="M93" s="44">
        <v>25</v>
      </c>
      <c r="N93" s="44">
        <v>84</v>
      </c>
      <c r="O93" s="44"/>
      <c r="P93" s="84"/>
      <c r="Q93" s="84"/>
      <c r="R93" s="84"/>
      <c r="S93" s="84"/>
      <c r="T93" s="84"/>
      <c r="U93" s="84"/>
      <c r="V93" s="84"/>
      <c r="W93" s="84"/>
      <c r="X93" s="84"/>
      <c r="Y93" s="84"/>
      <c r="Z93" s="84"/>
      <c r="AA93" s="84"/>
      <c r="AB93" s="84">
        <v>0.3</v>
      </c>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v>0.18</v>
      </c>
      <c r="BF93" s="84"/>
      <c r="BG93" s="84"/>
      <c r="BH93" s="79">
        <f>J93-SUM(V93:BG93)</f>
        <v>0</v>
      </c>
      <c r="BI93" s="79"/>
      <c r="BJ93" s="78">
        <f t="shared" si="12"/>
        <v>9.9999999999766942E-4</v>
      </c>
      <c r="BK93" s="48"/>
      <c r="BL93" s="44">
        <v>13</v>
      </c>
      <c r="BM93" s="79">
        <f t="shared" si="13"/>
        <v>0</v>
      </c>
      <c r="BN93" s="75"/>
      <c r="BO93" s="75"/>
    </row>
    <row r="94" spans="1:67" s="4" customFormat="1" ht="31.2" x14ac:dyDescent="0.3">
      <c r="A94" s="48">
        <v>30</v>
      </c>
      <c r="B94" s="42" t="s">
        <v>283</v>
      </c>
      <c r="C94" s="48" t="s">
        <v>28</v>
      </c>
      <c r="D94" s="41">
        <f>5.09</f>
        <v>5.09</v>
      </c>
      <c r="E94" s="41"/>
      <c r="F94" s="41">
        <f>5.09</f>
        <v>5.09</v>
      </c>
      <c r="G94" s="39">
        <f>5.09</f>
        <v>5.09</v>
      </c>
      <c r="H94" s="39"/>
      <c r="I94" s="39"/>
      <c r="J94" s="39">
        <f>SUM(Z94:BG94)</f>
        <v>0</v>
      </c>
      <c r="K94" s="42" t="s">
        <v>308</v>
      </c>
      <c r="L94" s="42" t="s">
        <v>294</v>
      </c>
      <c r="M94" s="43">
        <v>39</v>
      </c>
      <c r="N94" s="43">
        <v>85</v>
      </c>
      <c r="O94" s="43"/>
      <c r="P94" s="84"/>
      <c r="Q94" s="84"/>
      <c r="R94" s="84"/>
      <c r="S94" s="84"/>
      <c r="T94" s="84"/>
      <c r="U94" s="84"/>
      <c r="V94" s="84"/>
      <c r="W94" s="84"/>
      <c r="X94" s="84"/>
      <c r="Y94" s="84"/>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78">
        <f t="shared" si="12"/>
        <v>0</v>
      </c>
      <c r="BK94" s="48"/>
      <c r="BL94" s="44">
        <v>13</v>
      </c>
      <c r="BM94" s="79">
        <f t="shared" si="13"/>
        <v>0</v>
      </c>
      <c r="BN94" s="75"/>
      <c r="BO94" s="75"/>
    </row>
    <row r="95" spans="1:67" s="4" customFormat="1" ht="46.8" x14ac:dyDescent="0.3">
      <c r="A95" s="48">
        <v>31</v>
      </c>
      <c r="B95" s="42" t="s">
        <v>283</v>
      </c>
      <c r="C95" s="48" t="s">
        <v>28</v>
      </c>
      <c r="D95" s="39">
        <f>3.55+2.07-1.71</f>
        <v>3.9099999999999993</v>
      </c>
      <c r="E95" s="39"/>
      <c r="F95" s="39">
        <f>3.55+2.07-1.71</f>
        <v>3.9099999999999993</v>
      </c>
      <c r="G95" s="39">
        <f>1.7+0.4+1.29-1.71</f>
        <v>1.6800000000000002</v>
      </c>
      <c r="H95" s="39"/>
      <c r="I95" s="39"/>
      <c r="J95" s="39">
        <f>SUM(Z95:BG95)</f>
        <v>2.23</v>
      </c>
      <c r="K95" s="42" t="s">
        <v>309</v>
      </c>
      <c r="L95" s="42" t="s">
        <v>294</v>
      </c>
      <c r="M95" s="44">
        <v>40</v>
      </c>
      <c r="N95" s="44">
        <v>86</v>
      </c>
      <c r="O95" s="42" t="s">
        <v>1183</v>
      </c>
      <c r="P95" s="84"/>
      <c r="Q95" s="84"/>
      <c r="R95" s="84"/>
      <c r="S95" s="84"/>
      <c r="T95" s="84"/>
      <c r="U95" s="84"/>
      <c r="V95" s="84"/>
      <c r="W95" s="84"/>
      <c r="X95" s="84"/>
      <c r="Y95" s="84"/>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f>3.55-2.1+0.17+0.39</f>
        <v>2.0099999999999998</v>
      </c>
      <c r="BE95" s="48">
        <v>0.22</v>
      </c>
      <c r="BF95" s="48"/>
      <c r="BG95" s="48"/>
      <c r="BH95" s="48"/>
      <c r="BI95" s="48"/>
      <c r="BJ95" s="78">
        <f t="shared" si="12"/>
        <v>0</v>
      </c>
      <c r="BK95" s="48"/>
      <c r="BL95" s="44">
        <v>13</v>
      </c>
      <c r="BM95" s="79">
        <f t="shared" si="13"/>
        <v>0</v>
      </c>
      <c r="BN95" s="75"/>
      <c r="BO95" s="75"/>
    </row>
    <row r="96" spans="1:67" s="4" customFormat="1" ht="46.8" x14ac:dyDescent="0.3">
      <c r="A96" s="48">
        <v>32</v>
      </c>
      <c r="B96" s="42" t="s">
        <v>283</v>
      </c>
      <c r="C96" s="48" t="s">
        <v>28</v>
      </c>
      <c r="D96" s="39">
        <f>0.7+9.66+17.18+11.71+0.77</f>
        <v>40.020000000000003</v>
      </c>
      <c r="E96" s="39"/>
      <c r="F96" s="39">
        <v>40.020000000000003</v>
      </c>
      <c r="G96" s="39">
        <f>10.79+0.7-8.12+0.77</f>
        <v>4.1399999999999988</v>
      </c>
      <c r="H96" s="39"/>
      <c r="I96" s="39"/>
      <c r="J96" s="39">
        <f>SUM(V96:BG96)</f>
        <v>35.879999999999995</v>
      </c>
      <c r="K96" s="42" t="s">
        <v>368</v>
      </c>
      <c r="L96" s="42" t="s">
        <v>364</v>
      </c>
      <c r="M96" s="44">
        <v>9</v>
      </c>
      <c r="N96" s="44">
        <v>87</v>
      </c>
      <c r="O96" s="44"/>
      <c r="P96" s="39"/>
      <c r="Q96" s="39"/>
      <c r="R96" s="39"/>
      <c r="S96" s="39"/>
      <c r="T96" s="39"/>
      <c r="U96" s="39"/>
      <c r="V96" s="39"/>
      <c r="W96" s="39"/>
      <c r="X96" s="39">
        <f>8.61+0.41+8.5</f>
        <v>17.52</v>
      </c>
      <c r="Y96" s="39"/>
      <c r="Z96" s="39">
        <f>0.18+0.36</f>
        <v>0.54</v>
      </c>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v>2.2999999999999998</v>
      </c>
      <c r="BE96" s="39">
        <f>1.05+3.05+11.42</f>
        <v>15.52</v>
      </c>
      <c r="BF96" s="39"/>
      <c r="BG96" s="39"/>
      <c r="BH96" s="39"/>
      <c r="BI96" s="39"/>
      <c r="BJ96" s="78">
        <f t="shared" si="12"/>
        <v>0</v>
      </c>
      <c r="BK96" s="84"/>
      <c r="BL96" s="44">
        <v>13</v>
      </c>
      <c r="BM96" s="79">
        <f t="shared" si="13"/>
        <v>0</v>
      </c>
      <c r="BN96" s="75"/>
      <c r="BO96" s="75"/>
    </row>
    <row r="97" spans="1:67" s="4" customFormat="1" x14ac:dyDescent="0.3">
      <c r="A97" s="48">
        <v>33</v>
      </c>
      <c r="B97" s="42" t="s">
        <v>283</v>
      </c>
      <c r="C97" s="48" t="s">
        <v>28</v>
      </c>
      <c r="D97" s="39">
        <f>1.12+0.96</f>
        <v>2.08</v>
      </c>
      <c r="E97" s="39"/>
      <c r="F97" s="39">
        <v>2.08</v>
      </c>
      <c r="G97" s="39">
        <v>1.24</v>
      </c>
      <c r="H97" s="39"/>
      <c r="I97" s="39"/>
      <c r="J97" s="39">
        <f>SUM(Z97:BG97)</f>
        <v>0.84</v>
      </c>
      <c r="K97" s="42" t="s">
        <v>391</v>
      </c>
      <c r="L97" s="42" t="s">
        <v>377</v>
      </c>
      <c r="M97" s="44">
        <v>24</v>
      </c>
      <c r="N97" s="44">
        <v>88</v>
      </c>
      <c r="O97" s="44"/>
      <c r="P97" s="84"/>
      <c r="Q97" s="84"/>
      <c r="R97" s="84"/>
      <c r="S97" s="84"/>
      <c r="T97" s="84"/>
      <c r="U97" s="84"/>
      <c r="V97" s="84"/>
      <c r="W97" s="84"/>
      <c r="X97" s="84"/>
      <c r="Y97" s="84"/>
      <c r="Z97" s="84"/>
      <c r="AA97" s="84"/>
      <c r="AB97" s="84">
        <f>0.84</f>
        <v>0.84</v>
      </c>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78">
        <f t="shared" si="12"/>
        <v>0</v>
      </c>
      <c r="BK97" s="84"/>
      <c r="BL97" s="44">
        <v>13</v>
      </c>
      <c r="BM97" s="79">
        <f t="shared" si="13"/>
        <v>0</v>
      </c>
      <c r="BN97" s="75"/>
      <c r="BO97" s="75"/>
    </row>
    <row r="98" spans="1:67" s="14" customFormat="1" x14ac:dyDescent="0.3">
      <c r="A98" s="48">
        <v>34</v>
      </c>
      <c r="B98" s="42" t="s">
        <v>283</v>
      </c>
      <c r="C98" s="48" t="s">
        <v>28</v>
      </c>
      <c r="D98" s="39">
        <v>27.93</v>
      </c>
      <c r="E98" s="39"/>
      <c r="F98" s="39">
        <v>27.93</v>
      </c>
      <c r="G98" s="39"/>
      <c r="H98" s="39"/>
      <c r="I98" s="39"/>
      <c r="J98" s="39">
        <v>27.93</v>
      </c>
      <c r="K98" s="92"/>
      <c r="L98" s="42" t="s">
        <v>395</v>
      </c>
      <c r="M98" s="44">
        <v>27</v>
      </c>
      <c r="N98" s="44">
        <v>89</v>
      </c>
      <c r="O98" s="44"/>
      <c r="P98" s="119"/>
      <c r="Q98" s="119"/>
      <c r="R98" s="119"/>
      <c r="S98" s="119"/>
      <c r="T98" s="119"/>
      <c r="U98" s="119"/>
      <c r="V98" s="119"/>
      <c r="W98" s="119"/>
      <c r="X98" s="119">
        <f>8.71+2.53-0.22+6.42</f>
        <v>17.439999999999998</v>
      </c>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f>11.27-8.71+0.22+7.71</f>
        <v>10.489999999999998</v>
      </c>
      <c r="BF98" s="119"/>
      <c r="BG98" s="119"/>
      <c r="BH98" s="119"/>
      <c r="BI98" s="119"/>
      <c r="BJ98" s="78">
        <f t="shared" si="12"/>
        <v>0</v>
      </c>
      <c r="BK98" s="84"/>
      <c r="BL98" s="44">
        <v>13</v>
      </c>
      <c r="BM98" s="79">
        <f t="shared" si="13"/>
        <v>0</v>
      </c>
      <c r="BN98" s="75"/>
      <c r="BO98" s="75"/>
    </row>
    <row r="99" spans="1:67" s="14" customFormat="1" x14ac:dyDescent="0.3">
      <c r="A99" s="48">
        <v>35</v>
      </c>
      <c r="B99" s="42" t="s">
        <v>283</v>
      </c>
      <c r="C99" s="48" t="s">
        <v>28</v>
      </c>
      <c r="D99" s="39">
        <v>37.44</v>
      </c>
      <c r="E99" s="39"/>
      <c r="F99" s="39">
        <v>37.44</v>
      </c>
      <c r="G99" s="39">
        <f>0.42+0.03+0.06+0.12+0.07+0.09+0.19+0.08+0.04+0.12+0.02+0.04+0.05+1.36+3.61-0.2-0.25+0.3+0.78+0.4+0.33+0.24+0.73+3.13+4.54+2.92+1.89+0.3+1.38+6.76</f>
        <v>29.549999999999997</v>
      </c>
      <c r="H99" s="39"/>
      <c r="I99" s="39"/>
      <c r="J99" s="39">
        <f>37.44-29.55</f>
        <v>7.889999999999997</v>
      </c>
      <c r="K99" s="92"/>
      <c r="L99" s="42" t="s">
        <v>395</v>
      </c>
      <c r="M99" s="44">
        <v>28</v>
      </c>
      <c r="N99" s="44">
        <v>90</v>
      </c>
      <c r="O99" s="44"/>
      <c r="P99" s="119"/>
      <c r="Q99" s="119"/>
      <c r="R99" s="119"/>
      <c r="S99" s="119"/>
      <c r="T99" s="119"/>
      <c r="U99" s="119"/>
      <c r="V99" s="119"/>
      <c r="W99" s="119"/>
      <c r="X99" s="119"/>
      <c r="Y99" s="119"/>
      <c r="Z99" s="119">
        <f>0.09+0.05+0.17+0.2+0.17+0.2+0.57+0.5+1.96+1.08</f>
        <v>4.99</v>
      </c>
      <c r="AA99" s="119">
        <v>0.31</v>
      </c>
      <c r="AB99" s="119"/>
      <c r="AC99" s="119"/>
      <c r="AD99" s="119"/>
      <c r="AE99" s="119"/>
      <c r="AF99" s="119"/>
      <c r="AG99" s="119"/>
      <c r="AH99" s="119"/>
      <c r="AI99" s="119"/>
      <c r="AJ99" s="119"/>
      <c r="AK99" s="119"/>
      <c r="AL99" s="119"/>
      <c r="AM99" s="119"/>
      <c r="AN99" s="119"/>
      <c r="AO99" s="119"/>
      <c r="AP99" s="119"/>
      <c r="AQ99" s="119"/>
      <c r="AR99" s="119">
        <f>2.27-2.09</f>
        <v>0.18000000000000016</v>
      </c>
      <c r="AS99" s="119"/>
      <c r="AT99" s="119"/>
      <c r="AU99" s="119"/>
      <c r="AV99" s="119"/>
      <c r="AW99" s="119"/>
      <c r="AX99" s="119"/>
      <c r="AY99" s="119"/>
      <c r="AZ99" s="119"/>
      <c r="BA99" s="119"/>
      <c r="BB99" s="119"/>
      <c r="BC99" s="119">
        <f>0.47+1.07</f>
        <v>1.54</v>
      </c>
      <c r="BD99" s="119">
        <v>0.08</v>
      </c>
      <c r="BE99" s="119">
        <f>0.25+0.54</f>
        <v>0.79</v>
      </c>
      <c r="BF99" s="119"/>
      <c r="BG99" s="119"/>
      <c r="BH99" s="119"/>
      <c r="BI99" s="119"/>
      <c r="BJ99" s="78">
        <f t="shared" si="12"/>
        <v>0</v>
      </c>
      <c r="BK99" s="84"/>
      <c r="BL99" s="44">
        <v>13</v>
      </c>
      <c r="BM99" s="79">
        <f t="shared" si="13"/>
        <v>0</v>
      </c>
      <c r="BN99" s="75"/>
      <c r="BO99" s="75"/>
    </row>
    <row r="100" spans="1:67" s="4" customFormat="1" x14ac:dyDescent="0.3">
      <c r="A100" s="48">
        <v>36</v>
      </c>
      <c r="B100" s="42" t="s">
        <v>283</v>
      </c>
      <c r="C100" s="48" t="s">
        <v>28</v>
      </c>
      <c r="D100" s="39">
        <f>2.23+1.03</f>
        <v>3.26</v>
      </c>
      <c r="E100" s="39"/>
      <c r="F100" s="39">
        <v>3.26</v>
      </c>
      <c r="G100" s="39">
        <f>2.23-0.92+1.03-0.05-0.14</f>
        <v>2.15</v>
      </c>
      <c r="H100" s="39"/>
      <c r="I100" s="39"/>
      <c r="J100" s="39">
        <f t="shared" ref="J100:J108" si="14">SUM(P100:BG100)</f>
        <v>1.1100000000000001</v>
      </c>
      <c r="K100" s="42" t="s">
        <v>423</v>
      </c>
      <c r="L100" s="42" t="s">
        <v>415</v>
      </c>
      <c r="M100" s="43">
        <v>14</v>
      </c>
      <c r="N100" s="43">
        <v>91</v>
      </c>
      <c r="O100" s="43"/>
      <c r="P100" s="84"/>
      <c r="Q100" s="84"/>
      <c r="R100" s="84"/>
      <c r="S100" s="84"/>
      <c r="T100" s="84"/>
      <c r="U100" s="84"/>
      <c r="V100" s="84"/>
      <c r="W100" s="84"/>
      <c r="X100" s="84"/>
      <c r="Y100" s="84"/>
      <c r="Z100" s="84">
        <f>0.12+0.8+0.14</f>
        <v>1.06</v>
      </c>
      <c r="AA100" s="84"/>
      <c r="AB100" s="84"/>
      <c r="AC100" s="84"/>
      <c r="AD100" s="84"/>
      <c r="AE100" s="84"/>
      <c r="AF100" s="84"/>
      <c r="AG100" s="84"/>
      <c r="AH100" s="84"/>
      <c r="AI100" s="84"/>
      <c r="AJ100" s="84"/>
      <c r="AK100" s="84"/>
      <c r="AL100" s="84"/>
      <c r="AM100" s="84"/>
      <c r="AN100" s="84"/>
      <c r="AO100" s="84"/>
      <c r="AP100" s="84"/>
      <c r="AQ100" s="84">
        <v>0.05</v>
      </c>
      <c r="AR100" s="84"/>
      <c r="AS100" s="84"/>
      <c r="AT100" s="84"/>
      <c r="AU100" s="84"/>
      <c r="AV100" s="84"/>
      <c r="AW100" s="84"/>
      <c r="AX100" s="84"/>
      <c r="AY100" s="84"/>
      <c r="AZ100" s="84"/>
      <c r="BA100" s="84"/>
      <c r="BB100" s="84"/>
      <c r="BC100" s="84"/>
      <c r="BD100" s="84"/>
      <c r="BE100" s="84"/>
      <c r="BF100" s="84"/>
      <c r="BG100" s="84"/>
      <c r="BH100" s="84"/>
      <c r="BI100" s="84"/>
      <c r="BJ100" s="78">
        <f t="shared" ref="BJ100:BJ133" si="15">D100-E100-F100</f>
        <v>0</v>
      </c>
      <c r="BK100" s="84"/>
      <c r="BL100" s="44">
        <v>13</v>
      </c>
      <c r="BM100" s="79">
        <f t="shared" si="13"/>
        <v>0</v>
      </c>
      <c r="BN100" s="75"/>
      <c r="BO100" s="75"/>
    </row>
    <row r="101" spans="1:67" s="4" customFormat="1" x14ac:dyDescent="0.3">
      <c r="A101" s="48">
        <v>37</v>
      </c>
      <c r="B101" s="42" t="s">
        <v>283</v>
      </c>
      <c r="C101" s="48" t="s">
        <v>28</v>
      </c>
      <c r="D101" s="39">
        <f>0.27+2.57+3.1+0.12</f>
        <v>6.06</v>
      </c>
      <c r="E101" s="39"/>
      <c r="F101" s="39">
        <f>0.27+2.57+3.1+0.12</f>
        <v>6.06</v>
      </c>
      <c r="G101" s="39">
        <f>2.84-1.3+1.69</f>
        <v>3.2299999999999995</v>
      </c>
      <c r="H101" s="39"/>
      <c r="I101" s="39"/>
      <c r="J101" s="39">
        <f t="shared" si="14"/>
        <v>2.83</v>
      </c>
      <c r="K101" s="42" t="s">
        <v>424</v>
      </c>
      <c r="L101" s="42" t="s">
        <v>415</v>
      </c>
      <c r="M101" s="43">
        <v>16</v>
      </c>
      <c r="N101" s="43">
        <v>92</v>
      </c>
      <c r="O101" s="43"/>
      <c r="P101" s="84"/>
      <c r="Q101" s="84"/>
      <c r="R101" s="84"/>
      <c r="S101" s="84"/>
      <c r="T101" s="84"/>
      <c r="U101" s="84"/>
      <c r="V101" s="84"/>
      <c r="W101" s="84"/>
      <c r="X101" s="84"/>
      <c r="Y101" s="84"/>
      <c r="Z101" s="84">
        <f>0.27+0.07+0.1</f>
        <v>0.44000000000000006</v>
      </c>
      <c r="AA101" s="84">
        <f>0.2</f>
        <v>0.2</v>
      </c>
      <c r="AB101" s="84">
        <f>0.27</f>
        <v>0.27</v>
      </c>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f>0.08</f>
        <v>0.08</v>
      </c>
      <c r="BE101" s="84">
        <f>0.48+1.25+0.04+0.07</f>
        <v>1.84</v>
      </c>
      <c r="BF101" s="84"/>
      <c r="BG101" s="84"/>
      <c r="BH101" s="84"/>
      <c r="BI101" s="84"/>
      <c r="BJ101" s="78">
        <f t="shared" si="15"/>
        <v>0</v>
      </c>
      <c r="BK101" s="84"/>
      <c r="BL101" s="44">
        <v>13</v>
      </c>
      <c r="BM101" s="79">
        <f t="shared" si="13"/>
        <v>0</v>
      </c>
      <c r="BN101" s="75"/>
      <c r="BO101" s="75"/>
    </row>
    <row r="102" spans="1:67" s="4" customFormat="1" x14ac:dyDescent="0.3">
      <c r="A102" s="48">
        <v>38</v>
      </c>
      <c r="B102" s="42" t="s">
        <v>283</v>
      </c>
      <c r="C102" s="48" t="s">
        <v>28</v>
      </c>
      <c r="D102" s="39">
        <v>1.53</v>
      </c>
      <c r="E102" s="39"/>
      <c r="F102" s="39">
        <v>1.53</v>
      </c>
      <c r="G102" s="39"/>
      <c r="H102" s="39"/>
      <c r="I102" s="39"/>
      <c r="J102" s="39">
        <f t="shared" si="14"/>
        <v>1.53</v>
      </c>
      <c r="K102" s="42" t="s">
        <v>420</v>
      </c>
      <c r="L102" s="42" t="s">
        <v>415</v>
      </c>
      <c r="M102" s="43">
        <v>18</v>
      </c>
      <c r="N102" s="43">
        <v>93</v>
      </c>
      <c r="O102" s="43"/>
      <c r="P102" s="84"/>
      <c r="Q102" s="84"/>
      <c r="R102" s="84"/>
      <c r="S102" s="84"/>
      <c r="T102" s="84"/>
      <c r="U102" s="84"/>
      <c r="V102" s="84"/>
      <c r="W102" s="84"/>
      <c r="X102" s="84"/>
      <c r="Y102" s="84"/>
      <c r="Z102" s="84"/>
      <c r="AA102" s="84">
        <v>0.15</v>
      </c>
      <c r="AB102" s="84">
        <v>0.76</v>
      </c>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f>1.53-0.91</f>
        <v>0.62</v>
      </c>
      <c r="BF102" s="84"/>
      <c r="BG102" s="84"/>
      <c r="BH102" s="84"/>
      <c r="BI102" s="84"/>
      <c r="BJ102" s="78">
        <f t="shared" si="15"/>
        <v>0</v>
      </c>
      <c r="BK102" s="84"/>
      <c r="BL102" s="44">
        <v>13</v>
      </c>
      <c r="BM102" s="79">
        <f t="shared" si="13"/>
        <v>0</v>
      </c>
      <c r="BN102" s="75"/>
      <c r="BO102" s="75"/>
    </row>
    <row r="103" spans="1:67" s="4" customFormat="1" x14ac:dyDescent="0.3">
      <c r="A103" s="48">
        <v>39</v>
      </c>
      <c r="B103" s="42" t="s">
        <v>283</v>
      </c>
      <c r="C103" s="48" t="s">
        <v>28</v>
      </c>
      <c r="D103" s="39">
        <f>2.76+3.29+7.17+4.23+0.93</f>
        <v>18.38</v>
      </c>
      <c r="E103" s="39"/>
      <c r="F103" s="39">
        <v>18.38</v>
      </c>
      <c r="G103" s="39">
        <f>18.38-14.6</f>
        <v>3.7799999999999994</v>
      </c>
      <c r="H103" s="39"/>
      <c r="I103" s="39"/>
      <c r="J103" s="39">
        <f t="shared" si="14"/>
        <v>14.599999999999998</v>
      </c>
      <c r="K103" s="42" t="s">
        <v>425</v>
      </c>
      <c r="L103" s="42" t="s">
        <v>415</v>
      </c>
      <c r="M103" s="43">
        <v>19</v>
      </c>
      <c r="N103" s="43">
        <v>94</v>
      </c>
      <c r="O103" s="43"/>
      <c r="P103" s="84"/>
      <c r="Q103" s="84"/>
      <c r="R103" s="84"/>
      <c r="S103" s="84"/>
      <c r="T103" s="84"/>
      <c r="U103" s="84"/>
      <c r="V103" s="84"/>
      <c r="W103" s="84"/>
      <c r="X103" s="84"/>
      <c r="Y103" s="84"/>
      <c r="Z103" s="84">
        <f>2.76-1.26+0.18</f>
        <v>1.6799999999999997</v>
      </c>
      <c r="AA103" s="84">
        <f>1.2+7.55</f>
        <v>8.75</v>
      </c>
      <c r="AB103" s="84">
        <v>0.34</v>
      </c>
      <c r="AC103" s="84"/>
      <c r="AD103" s="84"/>
      <c r="AE103" s="84"/>
      <c r="AF103" s="84"/>
      <c r="AG103" s="84"/>
      <c r="AH103" s="84"/>
      <c r="AI103" s="84"/>
      <c r="AJ103" s="84"/>
      <c r="AK103" s="84"/>
      <c r="AL103" s="84"/>
      <c r="AM103" s="84"/>
      <c r="AN103" s="84"/>
      <c r="AO103" s="84"/>
      <c r="AP103" s="84"/>
      <c r="AQ103" s="84">
        <v>0.11</v>
      </c>
      <c r="AR103" s="84"/>
      <c r="AS103" s="84"/>
      <c r="AT103" s="84"/>
      <c r="AU103" s="84"/>
      <c r="AV103" s="84"/>
      <c r="AW103" s="84"/>
      <c r="AX103" s="84"/>
      <c r="AY103" s="84"/>
      <c r="AZ103" s="84"/>
      <c r="BA103" s="84"/>
      <c r="BB103" s="84"/>
      <c r="BC103" s="84"/>
      <c r="BD103" s="84">
        <v>0.93</v>
      </c>
      <c r="BE103" s="84">
        <f>0.06+2.73</f>
        <v>2.79</v>
      </c>
      <c r="BF103" s="84"/>
      <c r="BG103" s="84"/>
      <c r="BH103" s="84"/>
      <c r="BI103" s="84"/>
      <c r="BJ103" s="78">
        <f t="shared" si="15"/>
        <v>0</v>
      </c>
      <c r="BK103" s="84"/>
      <c r="BL103" s="44">
        <v>13</v>
      </c>
      <c r="BM103" s="79">
        <f t="shared" si="13"/>
        <v>0</v>
      </c>
      <c r="BN103" s="75"/>
      <c r="BO103" s="75"/>
    </row>
    <row r="104" spans="1:67" s="4" customFormat="1" x14ac:dyDescent="0.3">
      <c r="A104" s="48">
        <v>40</v>
      </c>
      <c r="B104" s="42" t="s">
        <v>283</v>
      </c>
      <c r="C104" s="48" t="s">
        <v>28</v>
      </c>
      <c r="D104" s="39">
        <f>4.32+1.21</f>
        <v>5.53</v>
      </c>
      <c r="E104" s="39"/>
      <c r="F104" s="39">
        <v>5.53</v>
      </c>
      <c r="G104" s="39">
        <f>5.53-0.05</f>
        <v>5.48</v>
      </c>
      <c r="H104" s="39"/>
      <c r="I104" s="39"/>
      <c r="J104" s="39">
        <f t="shared" si="14"/>
        <v>0.05</v>
      </c>
      <c r="K104" s="42" t="s">
        <v>426</v>
      </c>
      <c r="L104" s="42" t="s">
        <v>415</v>
      </c>
      <c r="M104" s="43">
        <v>22</v>
      </c>
      <c r="N104" s="43">
        <v>95</v>
      </c>
      <c r="O104" s="43"/>
      <c r="P104" s="84"/>
      <c r="Q104" s="84"/>
      <c r="R104" s="84"/>
      <c r="S104" s="84"/>
      <c r="T104" s="84"/>
      <c r="U104" s="84"/>
      <c r="V104" s="84"/>
      <c r="W104" s="84"/>
      <c r="X104" s="84"/>
      <c r="Y104" s="84"/>
      <c r="Z104" s="84"/>
      <c r="AA104" s="84" t="s">
        <v>427</v>
      </c>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v>0.05</v>
      </c>
      <c r="BF104" s="84"/>
      <c r="BG104" s="84"/>
      <c r="BH104" s="84"/>
      <c r="BI104" s="84"/>
      <c r="BJ104" s="78">
        <f t="shared" si="15"/>
        <v>0</v>
      </c>
      <c r="BK104" s="84"/>
      <c r="BL104" s="44">
        <v>13</v>
      </c>
      <c r="BM104" s="79">
        <f t="shared" si="13"/>
        <v>0</v>
      </c>
      <c r="BN104" s="75"/>
      <c r="BO104" s="75"/>
    </row>
    <row r="105" spans="1:67" s="4" customFormat="1" x14ac:dyDescent="0.3">
      <c r="A105" s="48">
        <v>41</v>
      </c>
      <c r="B105" s="42" t="s">
        <v>283</v>
      </c>
      <c r="C105" s="48" t="s">
        <v>28</v>
      </c>
      <c r="D105" s="39">
        <f>17.89+1.16</f>
        <v>19.05</v>
      </c>
      <c r="E105" s="39"/>
      <c r="F105" s="39">
        <v>19.05</v>
      </c>
      <c r="G105" s="39">
        <f>19.05-2.24</f>
        <v>16.810000000000002</v>
      </c>
      <c r="H105" s="39"/>
      <c r="I105" s="39"/>
      <c r="J105" s="39">
        <f t="shared" si="14"/>
        <v>2.2399999999999998</v>
      </c>
      <c r="K105" s="42" t="s">
        <v>428</v>
      </c>
      <c r="L105" s="42" t="s">
        <v>415</v>
      </c>
      <c r="M105" s="43">
        <v>24</v>
      </c>
      <c r="N105" s="43">
        <v>96</v>
      </c>
      <c r="O105" s="43"/>
      <c r="P105" s="84"/>
      <c r="Q105" s="84"/>
      <c r="R105" s="84"/>
      <c r="S105" s="84"/>
      <c r="T105" s="84"/>
      <c r="U105" s="84"/>
      <c r="V105" s="84"/>
      <c r="W105" s="84"/>
      <c r="X105" s="84"/>
      <c r="Y105" s="84"/>
      <c r="Z105" s="84"/>
      <c r="AA105" s="84"/>
      <c r="AB105" s="84">
        <f>1.46+0.67</f>
        <v>2.13</v>
      </c>
      <c r="AC105" s="84"/>
      <c r="AD105" s="84"/>
      <c r="AE105" s="84"/>
      <c r="AF105" s="84"/>
      <c r="AG105" s="84"/>
      <c r="AH105" s="84"/>
      <c r="AI105" s="84"/>
      <c r="AJ105" s="84"/>
      <c r="AK105" s="84"/>
      <c r="AL105" s="84"/>
      <c r="AM105" s="84"/>
      <c r="AN105" s="84"/>
      <c r="AO105" s="84"/>
      <c r="AP105" s="84"/>
      <c r="AQ105" s="84">
        <v>0.11</v>
      </c>
      <c r="AR105" s="84"/>
      <c r="AS105" s="84"/>
      <c r="AT105" s="84"/>
      <c r="AU105" s="84"/>
      <c r="AV105" s="84"/>
      <c r="AW105" s="84"/>
      <c r="AX105" s="84"/>
      <c r="AY105" s="84"/>
      <c r="AZ105" s="84"/>
      <c r="BA105" s="84"/>
      <c r="BB105" s="84"/>
      <c r="BC105" s="84"/>
      <c r="BD105" s="84"/>
      <c r="BE105" s="84"/>
      <c r="BF105" s="84"/>
      <c r="BG105" s="84"/>
      <c r="BH105" s="84"/>
      <c r="BI105" s="84"/>
      <c r="BJ105" s="78">
        <f t="shared" si="15"/>
        <v>0</v>
      </c>
      <c r="BK105" s="84"/>
      <c r="BL105" s="44">
        <v>13</v>
      </c>
      <c r="BM105" s="79">
        <f t="shared" si="13"/>
        <v>0</v>
      </c>
      <c r="BN105" s="75"/>
      <c r="BO105" s="75"/>
    </row>
    <row r="106" spans="1:67" s="4" customFormat="1" x14ac:dyDescent="0.3">
      <c r="A106" s="48">
        <v>42</v>
      </c>
      <c r="B106" s="42" t="s">
        <v>283</v>
      </c>
      <c r="C106" s="48" t="s">
        <v>28</v>
      </c>
      <c r="D106" s="39">
        <f>1.81+1.46+3.11+0.37</f>
        <v>6.75</v>
      </c>
      <c r="E106" s="39"/>
      <c r="F106" s="39">
        <v>6.75</v>
      </c>
      <c r="G106" s="39">
        <f>3.56+0.37</f>
        <v>3.93</v>
      </c>
      <c r="H106" s="39"/>
      <c r="I106" s="39"/>
      <c r="J106" s="39">
        <f t="shared" si="14"/>
        <v>2.8200000000000003</v>
      </c>
      <c r="K106" s="42" t="s">
        <v>429</v>
      </c>
      <c r="L106" s="42" t="s">
        <v>415</v>
      </c>
      <c r="M106" s="43">
        <v>44</v>
      </c>
      <c r="N106" s="43">
        <v>97</v>
      </c>
      <c r="O106" s="43"/>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v>1.81</v>
      </c>
      <c r="BE106" s="84">
        <f>0.29+0.72</f>
        <v>1.01</v>
      </c>
      <c r="BF106" s="84"/>
      <c r="BG106" s="84"/>
      <c r="BH106" s="84"/>
      <c r="BI106" s="84"/>
      <c r="BJ106" s="78">
        <f t="shared" si="15"/>
        <v>0</v>
      </c>
      <c r="BK106" s="84"/>
      <c r="BL106" s="44">
        <v>13</v>
      </c>
      <c r="BM106" s="79">
        <f t="shared" si="13"/>
        <v>0</v>
      </c>
      <c r="BN106" s="75"/>
      <c r="BO106" s="75"/>
    </row>
    <row r="107" spans="1:67" s="4" customFormat="1" x14ac:dyDescent="0.3">
      <c r="A107" s="48">
        <v>43</v>
      </c>
      <c r="B107" s="42" t="s">
        <v>283</v>
      </c>
      <c r="C107" s="48" t="s">
        <v>28</v>
      </c>
      <c r="D107" s="39">
        <v>1.86</v>
      </c>
      <c r="E107" s="39"/>
      <c r="F107" s="39">
        <v>1.86</v>
      </c>
      <c r="G107" s="39"/>
      <c r="H107" s="39"/>
      <c r="I107" s="39"/>
      <c r="J107" s="39">
        <f t="shared" si="14"/>
        <v>1.86</v>
      </c>
      <c r="K107" s="42" t="s">
        <v>430</v>
      </c>
      <c r="L107" s="42" t="s">
        <v>415</v>
      </c>
      <c r="M107" s="43">
        <v>43</v>
      </c>
      <c r="N107" s="43">
        <v>98</v>
      </c>
      <c r="O107" s="43"/>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v>1.86</v>
      </c>
      <c r="BF107" s="84"/>
      <c r="BG107" s="84"/>
      <c r="BH107" s="84"/>
      <c r="BI107" s="84"/>
      <c r="BJ107" s="78">
        <f t="shared" si="15"/>
        <v>0</v>
      </c>
      <c r="BK107" s="84"/>
      <c r="BL107" s="44">
        <v>13</v>
      </c>
      <c r="BM107" s="79">
        <f t="shared" si="13"/>
        <v>0</v>
      </c>
      <c r="BN107" s="75"/>
      <c r="BO107" s="75"/>
    </row>
    <row r="108" spans="1:67" s="4" customFormat="1" x14ac:dyDescent="0.3">
      <c r="A108" s="48">
        <v>44</v>
      </c>
      <c r="B108" s="42" t="s">
        <v>283</v>
      </c>
      <c r="C108" s="48" t="s">
        <v>28</v>
      </c>
      <c r="D108" s="39">
        <v>3.59</v>
      </c>
      <c r="E108" s="39"/>
      <c r="F108" s="39">
        <v>3.59</v>
      </c>
      <c r="G108" s="39">
        <f>D108-Z108-BE108</f>
        <v>1.9699999999999993</v>
      </c>
      <c r="H108" s="39"/>
      <c r="I108" s="39"/>
      <c r="J108" s="39">
        <f t="shared" si="14"/>
        <v>1.62</v>
      </c>
      <c r="K108" s="42" t="s">
        <v>779</v>
      </c>
      <c r="L108" s="42" t="s">
        <v>415</v>
      </c>
      <c r="M108" s="43">
        <v>33</v>
      </c>
      <c r="N108" s="43">
        <v>99</v>
      </c>
      <c r="O108" s="43"/>
      <c r="P108" s="84"/>
      <c r="Q108" s="84"/>
      <c r="R108" s="84"/>
      <c r="S108" s="84"/>
      <c r="T108" s="84"/>
      <c r="U108" s="84"/>
      <c r="V108" s="84"/>
      <c r="W108" s="84"/>
      <c r="X108" s="84"/>
      <c r="Y108" s="84"/>
      <c r="Z108" s="84">
        <f>0.28+0.45+0.04+0.11+0.09+0.15+0.08+0.11+0.12+0.05</f>
        <v>1.4800000000000002</v>
      </c>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v>0.14000000000000001</v>
      </c>
      <c r="BF108" s="84"/>
      <c r="BG108" s="84"/>
      <c r="BH108" s="84"/>
      <c r="BI108" s="84"/>
      <c r="BJ108" s="78">
        <f t="shared" si="15"/>
        <v>0</v>
      </c>
      <c r="BK108" s="84"/>
      <c r="BL108" s="44">
        <v>13</v>
      </c>
      <c r="BM108" s="79">
        <f t="shared" si="13"/>
        <v>0</v>
      </c>
      <c r="BN108" s="75"/>
      <c r="BO108" s="75"/>
    </row>
    <row r="109" spans="1:67" s="4" customFormat="1" ht="45.75" customHeight="1" x14ac:dyDescent="0.3">
      <c r="A109" s="48">
        <v>45</v>
      </c>
      <c r="B109" s="42" t="s">
        <v>858</v>
      </c>
      <c r="C109" s="43" t="s">
        <v>28</v>
      </c>
      <c r="D109" s="41">
        <v>9.98</v>
      </c>
      <c r="E109" s="41"/>
      <c r="F109" s="41">
        <v>9.98</v>
      </c>
      <c r="G109" s="41">
        <v>5.2</v>
      </c>
      <c r="H109" s="41"/>
      <c r="I109" s="41"/>
      <c r="J109" s="41">
        <v>4.78</v>
      </c>
      <c r="K109" s="42" t="s">
        <v>859</v>
      </c>
      <c r="L109" s="42" t="s">
        <v>688</v>
      </c>
      <c r="M109" s="43">
        <v>8</v>
      </c>
      <c r="N109" s="43">
        <v>100</v>
      </c>
      <c r="O109" s="43"/>
      <c r="P109" s="97"/>
      <c r="Q109" s="97"/>
      <c r="R109" s="97"/>
      <c r="S109" s="97"/>
      <c r="T109" s="97"/>
      <c r="U109" s="97"/>
      <c r="V109" s="97"/>
      <c r="W109" s="97"/>
      <c r="X109" s="97"/>
      <c r="Y109" s="97"/>
      <c r="Z109" s="97"/>
      <c r="AA109" s="97"/>
      <c r="AB109" s="97">
        <v>2</v>
      </c>
      <c r="AC109" s="97"/>
      <c r="AD109" s="97"/>
      <c r="AE109" s="97"/>
      <c r="AF109" s="97"/>
      <c r="AG109" s="100"/>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v>2.78</v>
      </c>
      <c r="BF109" s="97"/>
      <c r="BG109" s="97"/>
      <c r="BH109" s="97"/>
      <c r="BI109" s="97"/>
      <c r="BJ109" s="78">
        <f t="shared" si="15"/>
        <v>0</v>
      </c>
      <c r="BK109" s="97"/>
      <c r="BL109" s="97">
        <v>13</v>
      </c>
      <c r="BM109" s="79">
        <f t="shared" si="13"/>
        <v>0</v>
      </c>
      <c r="BN109" s="75"/>
      <c r="BO109" s="75"/>
    </row>
    <row r="110" spans="1:67" s="4" customFormat="1" ht="31.2" x14ac:dyDescent="0.3">
      <c r="A110" s="48">
        <v>46</v>
      </c>
      <c r="B110" s="42" t="s">
        <v>283</v>
      </c>
      <c r="C110" s="43" t="s">
        <v>28</v>
      </c>
      <c r="D110" s="41">
        <v>2.5299999999999998</v>
      </c>
      <c r="E110" s="41"/>
      <c r="F110" s="41">
        <v>2.5299999999999998</v>
      </c>
      <c r="G110" s="41">
        <v>0</v>
      </c>
      <c r="H110" s="41"/>
      <c r="I110" s="41"/>
      <c r="J110" s="41">
        <v>2.5299999999999998</v>
      </c>
      <c r="K110" s="42" t="s">
        <v>973</v>
      </c>
      <c r="L110" s="42" t="s">
        <v>688</v>
      </c>
      <c r="M110" s="43">
        <v>9</v>
      </c>
      <c r="N110" s="43">
        <v>101</v>
      </c>
      <c r="O110" s="43"/>
      <c r="P110" s="97"/>
      <c r="Q110" s="97"/>
      <c r="R110" s="97"/>
      <c r="S110" s="97"/>
      <c r="T110" s="97"/>
      <c r="U110" s="97"/>
      <c r="V110" s="97"/>
      <c r="W110" s="97"/>
      <c r="X110" s="97">
        <v>0.91</v>
      </c>
      <c r="Y110" s="97"/>
      <c r="Z110" s="97">
        <v>1.62</v>
      </c>
      <c r="AA110" s="97"/>
      <c r="AB110" s="97"/>
      <c r="AC110" s="97"/>
      <c r="AD110" s="97"/>
      <c r="AE110" s="97"/>
      <c r="AF110" s="97"/>
      <c r="AG110" s="100"/>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78">
        <f t="shared" si="15"/>
        <v>0</v>
      </c>
      <c r="BK110" s="97"/>
      <c r="BL110" s="97">
        <v>13</v>
      </c>
      <c r="BM110" s="79">
        <f t="shared" si="13"/>
        <v>0</v>
      </c>
      <c r="BN110" s="75"/>
      <c r="BO110" s="75"/>
    </row>
    <row r="111" spans="1:67" s="4" customFormat="1" ht="31.2" x14ac:dyDescent="0.3">
      <c r="A111" s="48">
        <v>47</v>
      </c>
      <c r="B111" s="42" t="s">
        <v>283</v>
      </c>
      <c r="C111" s="43" t="s">
        <v>28</v>
      </c>
      <c r="D111" s="41">
        <v>10.81</v>
      </c>
      <c r="E111" s="41"/>
      <c r="F111" s="41">
        <v>10.81</v>
      </c>
      <c r="G111" s="41">
        <v>6.01</v>
      </c>
      <c r="H111" s="41"/>
      <c r="I111" s="41"/>
      <c r="J111" s="41">
        <v>4.8</v>
      </c>
      <c r="K111" s="42" t="s">
        <v>974</v>
      </c>
      <c r="L111" s="42" t="s">
        <v>688</v>
      </c>
      <c r="M111" s="43">
        <v>7</v>
      </c>
      <c r="N111" s="43">
        <v>102</v>
      </c>
      <c r="O111" s="43"/>
      <c r="P111" s="97"/>
      <c r="Q111" s="97"/>
      <c r="R111" s="97"/>
      <c r="S111" s="97"/>
      <c r="T111" s="97"/>
      <c r="U111" s="97"/>
      <c r="V111" s="97"/>
      <c r="W111" s="97"/>
      <c r="X111" s="97"/>
      <c r="Y111" s="97"/>
      <c r="Z111" s="97"/>
      <c r="AA111" s="97"/>
      <c r="AB111" s="97"/>
      <c r="AC111" s="97"/>
      <c r="AD111" s="97"/>
      <c r="AE111" s="97"/>
      <c r="AF111" s="97"/>
      <c r="AG111" s="100"/>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v>4.8</v>
      </c>
      <c r="BF111" s="97"/>
      <c r="BG111" s="97"/>
      <c r="BH111" s="97"/>
      <c r="BI111" s="97"/>
      <c r="BJ111" s="78">
        <f t="shared" si="15"/>
        <v>0</v>
      </c>
      <c r="BK111" s="97"/>
      <c r="BL111" s="97">
        <v>13</v>
      </c>
      <c r="BM111" s="79">
        <f t="shared" si="13"/>
        <v>0</v>
      </c>
      <c r="BN111" s="75"/>
      <c r="BO111" s="75"/>
    </row>
    <row r="112" spans="1:67" x14ac:dyDescent="0.3">
      <c r="A112" s="76" t="s">
        <v>607</v>
      </c>
      <c r="B112" s="77" t="s">
        <v>608</v>
      </c>
      <c r="C112" s="81" t="s">
        <v>32</v>
      </c>
      <c r="D112" s="81">
        <f>SUM(D113:D124)</f>
        <v>368.72</v>
      </c>
      <c r="E112" s="81">
        <f t="shared" ref="E112:BI112" si="16">SUM(E113:E124)</f>
        <v>0</v>
      </c>
      <c r="F112" s="81">
        <f t="shared" si="16"/>
        <v>368.72</v>
      </c>
      <c r="G112" s="81">
        <f t="shared" si="16"/>
        <v>7.69</v>
      </c>
      <c r="H112" s="81">
        <f t="shared" si="16"/>
        <v>360.1</v>
      </c>
      <c r="I112" s="81">
        <f t="shared" si="16"/>
        <v>0</v>
      </c>
      <c r="J112" s="81">
        <f t="shared" si="16"/>
        <v>0.93</v>
      </c>
      <c r="K112" s="81">
        <f t="shared" si="16"/>
        <v>0</v>
      </c>
      <c r="L112" s="81">
        <f t="shared" si="16"/>
        <v>0</v>
      </c>
      <c r="M112" s="81"/>
      <c r="N112" s="81"/>
      <c r="O112" s="81">
        <f t="shared" si="16"/>
        <v>0</v>
      </c>
      <c r="P112" s="81">
        <f t="shared" si="16"/>
        <v>0</v>
      </c>
      <c r="Q112" s="81">
        <f t="shared" si="16"/>
        <v>355.1</v>
      </c>
      <c r="R112" s="81">
        <f t="shared" si="16"/>
        <v>5</v>
      </c>
      <c r="S112" s="81">
        <f t="shared" si="16"/>
        <v>0</v>
      </c>
      <c r="T112" s="81">
        <f t="shared" si="16"/>
        <v>0</v>
      </c>
      <c r="U112" s="81">
        <f t="shared" si="16"/>
        <v>0</v>
      </c>
      <c r="V112" s="81">
        <f t="shared" si="16"/>
        <v>0</v>
      </c>
      <c r="W112" s="81">
        <f t="shared" si="16"/>
        <v>0</v>
      </c>
      <c r="X112" s="81">
        <f t="shared" si="16"/>
        <v>0</v>
      </c>
      <c r="Y112" s="81">
        <f t="shared" si="16"/>
        <v>0</v>
      </c>
      <c r="Z112" s="81">
        <f t="shared" si="16"/>
        <v>0.41000000000000003</v>
      </c>
      <c r="AA112" s="81">
        <f t="shared" si="16"/>
        <v>0</v>
      </c>
      <c r="AB112" s="81">
        <f t="shared" si="16"/>
        <v>0</v>
      </c>
      <c r="AC112" s="81">
        <f t="shared" si="16"/>
        <v>0</v>
      </c>
      <c r="AD112" s="81">
        <f t="shared" si="16"/>
        <v>0</v>
      </c>
      <c r="AE112" s="81">
        <f t="shared" si="16"/>
        <v>0</v>
      </c>
      <c r="AF112" s="81">
        <f t="shared" si="16"/>
        <v>0</v>
      </c>
      <c r="AG112" s="81">
        <f t="shared" si="16"/>
        <v>0.12</v>
      </c>
      <c r="AH112" s="81">
        <f t="shared" si="16"/>
        <v>0</v>
      </c>
      <c r="AI112" s="81">
        <f t="shared" si="16"/>
        <v>0</v>
      </c>
      <c r="AJ112" s="81">
        <f t="shared" si="16"/>
        <v>0</v>
      </c>
      <c r="AK112" s="81">
        <f t="shared" si="16"/>
        <v>0</v>
      </c>
      <c r="AL112" s="81">
        <f t="shared" si="16"/>
        <v>0</v>
      </c>
      <c r="AM112" s="81">
        <f t="shared" si="16"/>
        <v>0</v>
      </c>
      <c r="AN112" s="81">
        <f t="shared" si="16"/>
        <v>0</v>
      </c>
      <c r="AO112" s="81">
        <f t="shared" si="16"/>
        <v>0</v>
      </c>
      <c r="AP112" s="81">
        <f t="shared" si="16"/>
        <v>0</v>
      </c>
      <c r="AQ112" s="81">
        <f t="shared" si="16"/>
        <v>0</v>
      </c>
      <c r="AR112" s="81">
        <f t="shared" si="16"/>
        <v>0</v>
      </c>
      <c r="AS112" s="81">
        <f t="shared" si="16"/>
        <v>0</v>
      </c>
      <c r="AT112" s="81">
        <f t="shared" si="16"/>
        <v>0</v>
      </c>
      <c r="AU112" s="81">
        <f t="shared" si="16"/>
        <v>0</v>
      </c>
      <c r="AV112" s="81">
        <f t="shared" si="16"/>
        <v>0</v>
      </c>
      <c r="AW112" s="81">
        <f t="shared" si="16"/>
        <v>0</v>
      </c>
      <c r="AX112" s="81">
        <f t="shared" si="16"/>
        <v>0</v>
      </c>
      <c r="AY112" s="81">
        <f t="shared" si="16"/>
        <v>0</v>
      </c>
      <c r="AZ112" s="81">
        <f t="shared" si="16"/>
        <v>0</v>
      </c>
      <c r="BA112" s="81">
        <f t="shared" si="16"/>
        <v>0</v>
      </c>
      <c r="BB112" s="81">
        <f t="shared" si="16"/>
        <v>0</v>
      </c>
      <c r="BC112" s="81">
        <f t="shared" si="16"/>
        <v>0</v>
      </c>
      <c r="BD112" s="81">
        <f t="shared" si="16"/>
        <v>0</v>
      </c>
      <c r="BE112" s="81">
        <f t="shared" si="16"/>
        <v>0.4</v>
      </c>
      <c r="BF112" s="81">
        <f t="shared" si="16"/>
        <v>0</v>
      </c>
      <c r="BG112" s="81">
        <f t="shared" si="16"/>
        <v>0</v>
      </c>
      <c r="BH112" s="81">
        <f t="shared" si="16"/>
        <v>0</v>
      </c>
      <c r="BI112" s="81">
        <f t="shared" si="16"/>
        <v>0</v>
      </c>
      <c r="BJ112" s="78">
        <f t="shared" si="15"/>
        <v>0</v>
      </c>
      <c r="BK112" s="84"/>
      <c r="BL112" s="44">
        <v>14</v>
      </c>
      <c r="BM112" s="79">
        <f t="shared" si="13"/>
        <v>0</v>
      </c>
      <c r="BN112" s="75"/>
      <c r="BO112" s="75"/>
    </row>
    <row r="113" spans="1:67" s="4" customFormat="1" x14ac:dyDescent="0.3">
      <c r="A113" s="48">
        <v>1</v>
      </c>
      <c r="B113" s="42" t="s">
        <v>375</v>
      </c>
      <c r="C113" s="48" t="s">
        <v>32</v>
      </c>
      <c r="D113" s="39">
        <v>0.31</v>
      </c>
      <c r="E113" s="39"/>
      <c r="F113" s="39">
        <v>0.31</v>
      </c>
      <c r="G113" s="39">
        <v>0.1</v>
      </c>
      <c r="H113" s="41"/>
      <c r="I113" s="39"/>
      <c r="J113" s="39">
        <v>0.21</v>
      </c>
      <c r="K113" s="42" t="s">
        <v>81</v>
      </c>
      <c r="L113" s="42" t="s">
        <v>81</v>
      </c>
      <c r="M113" s="48">
        <v>60</v>
      </c>
      <c r="N113" s="206">
        <v>103</v>
      </c>
      <c r="O113" s="48"/>
      <c r="P113" s="48"/>
      <c r="Q113" s="84"/>
      <c r="R113" s="84"/>
      <c r="S113" s="84"/>
      <c r="T113" s="84"/>
      <c r="U113" s="84"/>
      <c r="V113" s="84"/>
      <c r="W113" s="84"/>
      <c r="X113" s="84"/>
      <c r="Y113" s="84"/>
      <c r="Z113" s="84">
        <v>0.21</v>
      </c>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78">
        <f t="shared" si="15"/>
        <v>0</v>
      </c>
      <c r="BK113" s="84"/>
      <c r="BL113" s="44">
        <v>14</v>
      </c>
      <c r="BM113" s="79">
        <f t="shared" si="13"/>
        <v>0</v>
      </c>
      <c r="BN113" s="75"/>
      <c r="BO113" s="75"/>
    </row>
    <row r="114" spans="1:67" s="4" customFormat="1" ht="46.8" x14ac:dyDescent="0.3">
      <c r="A114" s="48">
        <v>2</v>
      </c>
      <c r="B114" s="50" t="s">
        <v>136</v>
      </c>
      <c r="C114" s="39" t="s">
        <v>32</v>
      </c>
      <c r="D114" s="39">
        <v>5</v>
      </c>
      <c r="E114" s="39"/>
      <c r="F114" s="39">
        <v>5</v>
      </c>
      <c r="G114" s="39"/>
      <c r="H114" s="39">
        <v>5</v>
      </c>
      <c r="I114" s="39"/>
      <c r="J114" s="39">
        <v>0</v>
      </c>
      <c r="K114" s="50" t="s">
        <v>128</v>
      </c>
      <c r="L114" s="122" t="s">
        <v>125</v>
      </c>
      <c r="M114" s="99">
        <v>42</v>
      </c>
      <c r="N114" s="207">
        <v>104</v>
      </c>
      <c r="O114" s="42" t="s">
        <v>1184</v>
      </c>
      <c r="P114" s="39"/>
      <c r="Q114" s="39"/>
      <c r="R114" s="39">
        <v>5</v>
      </c>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78">
        <f t="shared" si="15"/>
        <v>0</v>
      </c>
      <c r="BK114" s="39"/>
      <c r="BL114" s="44">
        <v>14</v>
      </c>
      <c r="BM114" s="79">
        <f t="shared" si="13"/>
        <v>0</v>
      </c>
      <c r="BN114" s="75"/>
      <c r="BO114" s="75"/>
    </row>
    <row r="115" spans="1:67" s="4" customFormat="1" ht="46.5" customHeight="1" x14ac:dyDescent="0.3">
      <c r="A115" s="48">
        <v>3</v>
      </c>
      <c r="B115" s="42" t="s">
        <v>244</v>
      </c>
      <c r="C115" s="48" t="s">
        <v>32</v>
      </c>
      <c r="D115" s="39">
        <v>4.5</v>
      </c>
      <c r="E115" s="39"/>
      <c r="F115" s="39">
        <v>4.5</v>
      </c>
      <c r="G115" s="39">
        <v>4.5</v>
      </c>
      <c r="H115" s="39"/>
      <c r="I115" s="39"/>
      <c r="J115" s="39"/>
      <c r="K115" s="42" t="s">
        <v>233</v>
      </c>
      <c r="L115" s="42" t="s">
        <v>233</v>
      </c>
      <c r="M115" s="49">
        <v>35</v>
      </c>
      <c r="N115" s="208">
        <v>105</v>
      </c>
      <c r="O115" s="124" t="s">
        <v>1185</v>
      </c>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78">
        <f t="shared" si="15"/>
        <v>0</v>
      </c>
      <c r="BK115" s="97"/>
      <c r="BL115" s="44">
        <v>14</v>
      </c>
      <c r="BM115" s="79">
        <f t="shared" si="13"/>
        <v>0</v>
      </c>
      <c r="BN115" s="75"/>
      <c r="BO115" s="75"/>
    </row>
    <row r="116" spans="1:67" s="4" customFormat="1" ht="31.2" x14ac:dyDescent="0.3">
      <c r="A116" s="48">
        <v>4</v>
      </c>
      <c r="B116" s="42" t="s">
        <v>259</v>
      </c>
      <c r="C116" s="48" t="s">
        <v>32</v>
      </c>
      <c r="D116" s="39">
        <v>104.5</v>
      </c>
      <c r="E116" s="39"/>
      <c r="F116" s="39">
        <v>104.5</v>
      </c>
      <c r="G116" s="39"/>
      <c r="H116" s="39">
        <v>104.5</v>
      </c>
      <c r="I116" s="39"/>
      <c r="J116" s="39"/>
      <c r="K116" s="42" t="s">
        <v>247</v>
      </c>
      <c r="L116" s="42" t="s">
        <v>247</v>
      </c>
      <c r="M116" s="44">
        <v>48</v>
      </c>
      <c r="N116" s="209">
        <v>106</v>
      </c>
      <c r="O116" s="44"/>
      <c r="P116" s="55"/>
      <c r="Q116" s="84">
        <v>104.5</v>
      </c>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78">
        <f t="shared" si="15"/>
        <v>0</v>
      </c>
      <c r="BK116" s="84"/>
      <c r="BL116" s="44">
        <v>14</v>
      </c>
      <c r="BM116" s="79">
        <f t="shared" si="13"/>
        <v>0</v>
      </c>
      <c r="BN116" s="75"/>
      <c r="BO116" s="75"/>
    </row>
    <row r="117" spans="1:67" s="4" customFormat="1" ht="31.2" x14ac:dyDescent="0.3">
      <c r="A117" s="48">
        <v>5</v>
      </c>
      <c r="B117" s="42" t="s">
        <v>775</v>
      </c>
      <c r="C117" s="48" t="s">
        <v>32</v>
      </c>
      <c r="D117" s="39">
        <v>49.55</v>
      </c>
      <c r="E117" s="39"/>
      <c r="F117" s="39">
        <v>49.55</v>
      </c>
      <c r="G117" s="39"/>
      <c r="H117" s="39">
        <v>49.55</v>
      </c>
      <c r="I117" s="39"/>
      <c r="J117" s="39"/>
      <c r="K117" s="42" t="s">
        <v>247</v>
      </c>
      <c r="L117" s="42" t="s">
        <v>247</v>
      </c>
      <c r="M117" s="44">
        <v>49</v>
      </c>
      <c r="N117" s="209">
        <v>107</v>
      </c>
      <c r="O117" s="44"/>
      <c r="P117" s="55"/>
      <c r="Q117" s="84">
        <v>49.55</v>
      </c>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78">
        <f t="shared" si="15"/>
        <v>0</v>
      </c>
      <c r="BK117" s="84"/>
      <c r="BL117" s="44">
        <v>14</v>
      </c>
      <c r="BM117" s="79">
        <f t="shared" si="13"/>
        <v>0</v>
      </c>
      <c r="BN117" s="75"/>
      <c r="BO117" s="75"/>
    </row>
    <row r="118" spans="1:67" s="4" customFormat="1" ht="46.8" x14ac:dyDescent="0.3">
      <c r="A118" s="48">
        <v>6</v>
      </c>
      <c r="B118" s="42" t="s">
        <v>776</v>
      </c>
      <c r="C118" s="48" t="s">
        <v>32</v>
      </c>
      <c r="D118" s="39">
        <v>49.55</v>
      </c>
      <c r="E118" s="39"/>
      <c r="F118" s="39">
        <v>49.55</v>
      </c>
      <c r="G118" s="39"/>
      <c r="H118" s="39">
        <v>49.55</v>
      </c>
      <c r="I118" s="39"/>
      <c r="J118" s="39"/>
      <c r="K118" s="42" t="s">
        <v>247</v>
      </c>
      <c r="L118" s="42" t="s">
        <v>247</v>
      </c>
      <c r="M118" s="44">
        <v>50</v>
      </c>
      <c r="N118" s="209">
        <v>108</v>
      </c>
      <c r="O118" s="124" t="s">
        <v>1186</v>
      </c>
      <c r="P118" s="55"/>
      <c r="Q118" s="84">
        <v>49.55</v>
      </c>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78">
        <f t="shared" si="15"/>
        <v>0</v>
      </c>
      <c r="BK118" s="84"/>
      <c r="BL118" s="44">
        <v>14</v>
      </c>
      <c r="BM118" s="79">
        <f t="shared" si="13"/>
        <v>0</v>
      </c>
      <c r="BN118" s="75"/>
      <c r="BO118" s="75"/>
    </row>
    <row r="119" spans="1:67" s="68" customFormat="1" x14ac:dyDescent="0.3">
      <c r="A119" s="48">
        <v>7</v>
      </c>
      <c r="B119" s="42" t="s">
        <v>281</v>
      </c>
      <c r="C119" s="48" t="s">
        <v>32</v>
      </c>
      <c r="D119" s="41">
        <v>0.4</v>
      </c>
      <c r="E119" s="41"/>
      <c r="F119" s="41">
        <v>0.4</v>
      </c>
      <c r="G119" s="39"/>
      <c r="H119" s="39"/>
      <c r="I119" s="39"/>
      <c r="J119" s="39">
        <v>0.4</v>
      </c>
      <c r="K119" s="42" t="s">
        <v>949</v>
      </c>
      <c r="L119" s="42" t="s">
        <v>280</v>
      </c>
      <c r="M119" s="48">
        <v>4</v>
      </c>
      <c r="N119" s="206">
        <v>109</v>
      </c>
      <c r="O119" s="48"/>
      <c r="P119" s="125"/>
      <c r="Q119" s="84"/>
      <c r="R119" s="84"/>
      <c r="S119" s="84"/>
      <c r="T119" s="84"/>
      <c r="U119" s="84"/>
      <c r="V119" s="84"/>
      <c r="W119" s="84"/>
      <c r="X119" s="84"/>
      <c r="Y119" s="84"/>
      <c r="Z119" s="84"/>
      <c r="AA119" s="84"/>
      <c r="AB119" s="84"/>
      <c r="AC119" s="84"/>
      <c r="AD119" s="84"/>
      <c r="AE119" s="84"/>
      <c r="AF119" s="84"/>
      <c r="AG119" s="118"/>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v>0.4</v>
      </c>
      <c r="BF119" s="84"/>
      <c r="BG119" s="84"/>
      <c r="BH119" s="84"/>
      <c r="BI119" s="84"/>
      <c r="BJ119" s="78">
        <f t="shared" si="15"/>
        <v>0</v>
      </c>
      <c r="BK119" s="84"/>
      <c r="BL119" s="44">
        <v>14</v>
      </c>
      <c r="BM119" s="79">
        <f t="shared" si="13"/>
        <v>0</v>
      </c>
      <c r="BN119" s="88"/>
      <c r="BO119" s="88"/>
    </row>
    <row r="120" spans="1:67" s="4" customFormat="1" x14ac:dyDescent="0.3">
      <c r="A120" s="48">
        <v>8</v>
      </c>
      <c r="B120" s="42" t="s">
        <v>777</v>
      </c>
      <c r="C120" s="48" t="s">
        <v>32</v>
      </c>
      <c r="D120" s="41">
        <v>151.5</v>
      </c>
      <c r="E120" s="41"/>
      <c r="F120" s="41">
        <v>151.5</v>
      </c>
      <c r="G120" s="39"/>
      <c r="H120" s="39">
        <v>151.5</v>
      </c>
      <c r="I120" s="39"/>
      <c r="J120" s="39"/>
      <c r="K120" s="42" t="s">
        <v>285</v>
      </c>
      <c r="L120" s="42" t="s">
        <v>285</v>
      </c>
      <c r="M120" s="48">
        <v>21</v>
      </c>
      <c r="N120" s="206">
        <v>110</v>
      </c>
      <c r="O120" s="48"/>
      <c r="P120" s="55"/>
      <c r="Q120" s="84">
        <v>151.5</v>
      </c>
      <c r="R120" s="84"/>
      <c r="S120" s="84"/>
      <c r="T120" s="84"/>
      <c r="U120" s="84"/>
      <c r="V120" s="84"/>
      <c r="W120" s="84"/>
      <c r="X120" s="84"/>
      <c r="Y120" s="84"/>
      <c r="Z120" s="84"/>
      <c r="AA120" s="84"/>
      <c r="AB120" s="84"/>
      <c r="AC120" s="84"/>
      <c r="AD120" s="84"/>
      <c r="AE120" s="84"/>
      <c r="AF120" s="84"/>
      <c r="AG120" s="118"/>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78">
        <f t="shared" si="15"/>
        <v>0</v>
      </c>
      <c r="BK120" s="84"/>
      <c r="BL120" s="44">
        <v>14</v>
      </c>
      <c r="BM120" s="79">
        <f t="shared" si="13"/>
        <v>0</v>
      </c>
      <c r="BN120" s="75"/>
      <c r="BO120" s="75"/>
    </row>
    <row r="121" spans="1:67" s="4" customFormat="1" ht="41.25" customHeight="1" x14ac:dyDescent="0.3">
      <c r="A121" s="48">
        <v>9</v>
      </c>
      <c r="B121" s="42" t="s">
        <v>292</v>
      </c>
      <c r="C121" s="48" t="s">
        <v>32</v>
      </c>
      <c r="D121" s="39">
        <v>2.89</v>
      </c>
      <c r="E121" s="39"/>
      <c r="F121" s="39">
        <v>2.89</v>
      </c>
      <c r="G121" s="39">
        <v>2.89</v>
      </c>
      <c r="H121" s="39"/>
      <c r="I121" s="39"/>
      <c r="J121" s="39">
        <f>SUM(Z121:BG121)</f>
        <v>0</v>
      </c>
      <c r="K121" s="42" t="s">
        <v>293</v>
      </c>
      <c r="L121" s="42" t="s">
        <v>294</v>
      </c>
      <c r="M121" s="44">
        <v>42</v>
      </c>
      <c r="N121" s="209">
        <v>111</v>
      </c>
      <c r="O121" s="44"/>
      <c r="P121" s="84"/>
      <c r="Q121" s="84"/>
      <c r="R121" s="84"/>
      <c r="S121" s="84"/>
      <c r="T121" s="84"/>
      <c r="U121" s="84"/>
      <c r="V121" s="84"/>
      <c r="W121" s="84"/>
      <c r="X121" s="84"/>
      <c r="Y121" s="84"/>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78">
        <f t="shared" si="15"/>
        <v>0</v>
      </c>
      <c r="BK121" s="48"/>
      <c r="BL121" s="44">
        <v>14</v>
      </c>
      <c r="BM121" s="79">
        <f t="shared" si="13"/>
        <v>0</v>
      </c>
      <c r="BN121" s="75"/>
      <c r="BO121" s="75"/>
    </row>
    <row r="122" spans="1:67" s="4" customFormat="1" x14ac:dyDescent="0.3">
      <c r="A122" s="48">
        <v>10</v>
      </c>
      <c r="B122" s="42" t="s">
        <v>375</v>
      </c>
      <c r="C122" s="48" t="s">
        <v>32</v>
      </c>
      <c r="D122" s="41">
        <v>0.2</v>
      </c>
      <c r="E122" s="41"/>
      <c r="F122" s="41">
        <v>0.2</v>
      </c>
      <c r="G122" s="39">
        <v>0.2</v>
      </c>
      <c r="H122" s="39"/>
      <c r="I122" s="39"/>
      <c r="J122" s="39">
        <f>SUM(V122:BG122)</f>
        <v>0</v>
      </c>
      <c r="K122" s="42" t="s">
        <v>363</v>
      </c>
      <c r="L122" s="42" t="s">
        <v>364</v>
      </c>
      <c r="M122" s="44">
        <v>17</v>
      </c>
      <c r="N122" s="209">
        <v>112</v>
      </c>
      <c r="O122" s="44"/>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78">
        <f t="shared" si="15"/>
        <v>0</v>
      </c>
      <c r="BK122" s="84"/>
      <c r="BL122" s="44">
        <v>14</v>
      </c>
      <c r="BM122" s="79">
        <f t="shared" si="13"/>
        <v>0</v>
      </c>
      <c r="BN122" s="75"/>
      <c r="BO122" s="75"/>
    </row>
    <row r="123" spans="1:67" s="4" customFormat="1" x14ac:dyDescent="0.3">
      <c r="A123" s="48">
        <v>11</v>
      </c>
      <c r="B123" s="42" t="s">
        <v>375</v>
      </c>
      <c r="C123" s="48" t="s">
        <v>32</v>
      </c>
      <c r="D123" s="41">
        <v>0.2</v>
      </c>
      <c r="E123" s="41"/>
      <c r="F123" s="41">
        <v>0.2</v>
      </c>
      <c r="G123" s="39"/>
      <c r="H123" s="39"/>
      <c r="I123" s="39"/>
      <c r="J123" s="39">
        <v>0.2</v>
      </c>
      <c r="K123" s="42"/>
      <c r="L123" s="42" t="s">
        <v>377</v>
      </c>
      <c r="M123" s="44"/>
      <c r="N123" s="209">
        <v>803</v>
      </c>
      <c r="O123" s="44"/>
      <c r="P123" s="39"/>
      <c r="Q123" s="39"/>
      <c r="R123" s="39"/>
      <c r="S123" s="39"/>
      <c r="T123" s="39"/>
      <c r="U123" s="39"/>
      <c r="V123" s="39"/>
      <c r="W123" s="39"/>
      <c r="X123" s="39"/>
      <c r="Y123" s="39"/>
      <c r="Z123" s="39">
        <v>0.2</v>
      </c>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78">
        <f t="shared" si="15"/>
        <v>0</v>
      </c>
      <c r="BK123" s="84"/>
      <c r="BL123" s="44"/>
      <c r="BM123" s="79"/>
      <c r="BN123" s="75"/>
      <c r="BO123" s="75"/>
    </row>
    <row r="124" spans="1:67" s="4" customFormat="1" x14ac:dyDescent="0.3">
      <c r="A124" s="48">
        <v>12</v>
      </c>
      <c r="B124" s="42" t="s">
        <v>375</v>
      </c>
      <c r="C124" s="48" t="s">
        <v>32</v>
      </c>
      <c r="D124" s="41">
        <v>0.12</v>
      </c>
      <c r="E124" s="41"/>
      <c r="F124" s="41">
        <v>0.12</v>
      </c>
      <c r="G124" s="39"/>
      <c r="H124" s="39"/>
      <c r="I124" s="39"/>
      <c r="J124" s="39">
        <v>0.12</v>
      </c>
      <c r="K124" s="42"/>
      <c r="L124" s="42" t="s">
        <v>58</v>
      </c>
      <c r="M124" s="44"/>
      <c r="N124" s="209">
        <v>804</v>
      </c>
      <c r="O124" s="44"/>
      <c r="P124" s="39"/>
      <c r="Q124" s="39"/>
      <c r="R124" s="39"/>
      <c r="S124" s="39"/>
      <c r="T124" s="39"/>
      <c r="U124" s="39"/>
      <c r="V124" s="39"/>
      <c r="W124" s="39"/>
      <c r="X124" s="39"/>
      <c r="Y124" s="39"/>
      <c r="Z124" s="39"/>
      <c r="AA124" s="39"/>
      <c r="AB124" s="39"/>
      <c r="AC124" s="39"/>
      <c r="AD124" s="39"/>
      <c r="AE124" s="39"/>
      <c r="AF124" s="39"/>
      <c r="AG124" s="39">
        <v>0.12</v>
      </c>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78">
        <f t="shared" si="15"/>
        <v>0</v>
      </c>
      <c r="BK124" s="84"/>
      <c r="BL124" s="44"/>
      <c r="BM124" s="79"/>
      <c r="BN124" s="75"/>
      <c r="BO124" s="75"/>
    </row>
    <row r="125" spans="1:67" x14ac:dyDescent="0.3">
      <c r="A125" s="80" t="s">
        <v>709</v>
      </c>
      <c r="B125" s="77" t="s">
        <v>710</v>
      </c>
      <c r="C125" s="80" t="s">
        <v>33</v>
      </c>
      <c r="D125" s="85">
        <f>SUM(D126:D151)</f>
        <v>43.690000000000033</v>
      </c>
      <c r="E125" s="85">
        <f t="shared" ref="E125:BH125" si="17">SUM(E126:E151)</f>
        <v>1.1000000000000001</v>
      </c>
      <c r="F125" s="85">
        <f t="shared" si="17"/>
        <v>42.590000000000025</v>
      </c>
      <c r="G125" s="85">
        <f t="shared" si="17"/>
        <v>25.529999999999994</v>
      </c>
      <c r="H125" s="85">
        <f t="shared" si="17"/>
        <v>0</v>
      </c>
      <c r="I125" s="85">
        <f t="shared" si="17"/>
        <v>0</v>
      </c>
      <c r="J125" s="85">
        <f t="shared" si="17"/>
        <v>17.059999999999999</v>
      </c>
      <c r="K125" s="86">
        <f t="shared" si="17"/>
        <v>0</v>
      </c>
      <c r="L125" s="86">
        <f t="shared" si="17"/>
        <v>0</v>
      </c>
      <c r="M125" s="85"/>
      <c r="N125" s="85"/>
      <c r="O125" s="85"/>
      <c r="P125" s="85">
        <f t="shared" si="17"/>
        <v>0</v>
      </c>
      <c r="Q125" s="85">
        <f t="shared" si="17"/>
        <v>0</v>
      </c>
      <c r="R125" s="85">
        <f t="shared" si="17"/>
        <v>0</v>
      </c>
      <c r="S125" s="85">
        <f t="shared" si="17"/>
        <v>0</v>
      </c>
      <c r="T125" s="85">
        <f t="shared" si="17"/>
        <v>0</v>
      </c>
      <c r="U125" s="85">
        <f t="shared" si="17"/>
        <v>0</v>
      </c>
      <c r="V125" s="85">
        <f t="shared" si="17"/>
        <v>0</v>
      </c>
      <c r="W125" s="85">
        <f t="shared" si="17"/>
        <v>0</v>
      </c>
      <c r="X125" s="85">
        <f t="shared" si="17"/>
        <v>0</v>
      </c>
      <c r="Y125" s="85">
        <f t="shared" si="17"/>
        <v>0</v>
      </c>
      <c r="Z125" s="85">
        <f t="shared" si="17"/>
        <v>0.21</v>
      </c>
      <c r="AA125" s="85">
        <f t="shared" si="17"/>
        <v>0</v>
      </c>
      <c r="AB125" s="85">
        <f t="shared" si="17"/>
        <v>0.2</v>
      </c>
      <c r="AC125" s="85">
        <f t="shared" si="17"/>
        <v>0</v>
      </c>
      <c r="AD125" s="85">
        <f t="shared" si="17"/>
        <v>0.2</v>
      </c>
      <c r="AE125" s="85">
        <f t="shared" si="17"/>
        <v>0</v>
      </c>
      <c r="AF125" s="85">
        <f t="shared" si="17"/>
        <v>0</v>
      </c>
      <c r="AG125" s="85">
        <f t="shared" si="17"/>
        <v>0.77</v>
      </c>
      <c r="AH125" s="85">
        <f t="shared" si="17"/>
        <v>0</v>
      </c>
      <c r="AI125" s="85">
        <f t="shared" si="17"/>
        <v>0</v>
      </c>
      <c r="AJ125" s="85">
        <f t="shared" si="17"/>
        <v>0</v>
      </c>
      <c r="AK125" s="85">
        <f t="shared" si="17"/>
        <v>0</v>
      </c>
      <c r="AL125" s="85">
        <f t="shared" si="17"/>
        <v>0</v>
      </c>
      <c r="AM125" s="85">
        <f t="shared" si="17"/>
        <v>0.21</v>
      </c>
      <c r="AN125" s="85">
        <f t="shared" si="17"/>
        <v>0</v>
      </c>
      <c r="AO125" s="85">
        <f t="shared" si="17"/>
        <v>0</v>
      </c>
      <c r="AP125" s="85">
        <f t="shared" si="17"/>
        <v>0</v>
      </c>
      <c r="AQ125" s="85">
        <f t="shared" si="17"/>
        <v>0.1</v>
      </c>
      <c r="AR125" s="85">
        <f t="shared" si="17"/>
        <v>0</v>
      </c>
      <c r="AS125" s="85">
        <f t="shared" si="17"/>
        <v>0</v>
      </c>
      <c r="AT125" s="85">
        <f t="shared" si="17"/>
        <v>0</v>
      </c>
      <c r="AU125" s="85">
        <f t="shared" si="17"/>
        <v>0</v>
      </c>
      <c r="AV125" s="85">
        <f t="shared" si="17"/>
        <v>0.15</v>
      </c>
      <c r="AW125" s="85">
        <f t="shared" si="17"/>
        <v>0</v>
      </c>
      <c r="AX125" s="85">
        <f t="shared" si="17"/>
        <v>0</v>
      </c>
      <c r="AY125" s="85">
        <f t="shared" si="17"/>
        <v>0</v>
      </c>
      <c r="AZ125" s="85">
        <f t="shared" si="17"/>
        <v>0</v>
      </c>
      <c r="BA125" s="85">
        <f t="shared" si="17"/>
        <v>0</v>
      </c>
      <c r="BB125" s="85">
        <f t="shared" si="17"/>
        <v>0</v>
      </c>
      <c r="BC125" s="85">
        <f t="shared" si="17"/>
        <v>0</v>
      </c>
      <c r="BD125" s="85">
        <f t="shared" si="17"/>
        <v>0</v>
      </c>
      <c r="BE125" s="85">
        <f t="shared" si="17"/>
        <v>15.22</v>
      </c>
      <c r="BF125" s="85">
        <f t="shared" si="17"/>
        <v>0</v>
      </c>
      <c r="BG125" s="85">
        <f t="shared" si="17"/>
        <v>0</v>
      </c>
      <c r="BH125" s="85">
        <f t="shared" si="17"/>
        <v>0</v>
      </c>
      <c r="BI125" s="85"/>
      <c r="BJ125" s="78">
        <f t="shared" si="15"/>
        <v>0</v>
      </c>
      <c r="BK125" s="89"/>
      <c r="BL125" s="90">
        <v>15</v>
      </c>
      <c r="BM125" s="79">
        <f t="shared" si="13"/>
        <v>0</v>
      </c>
      <c r="BN125" s="75"/>
      <c r="BO125" s="75"/>
    </row>
    <row r="126" spans="1:67" s="4" customFormat="1" x14ac:dyDescent="0.3">
      <c r="A126" s="48">
        <v>1</v>
      </c>
      <c r="B126" s="42" t="s">
        <v>275</v>
      </c>
      <c r="C126" s="48" t="s">
        <v>33</v>
      </c>
      <c r="D126" s="39">
        <v>0.17</v>
      </c>
      <c r="E126" s="39"/>
      <c r="F126" s="39">
        <v>0.17</v>
      </c>
      <c r="G126" s="39"/>
      <c r="H126" s="41"/>
      <c r="I126" s="39"/>
      <c r="J126" s="41">
        <f>SUM(V126:BG126)</f>
        <v>0.17</v>
      </c>
      <c r="K126" s="42" t="s">
        <v>895</v>
      </c>
      <c r="L126" s="42" t="s">
        <v>58</v>
      </c>
      <c r="M126" s="44">
        <v>25</v>
      </c>
      <c r="N126" s="209">
        <v>113</v>
      </c>
      <c r="O126" s="44"/>
      <c r="P126" s="105"/>
      <c r="Q126" s="84"/>
      <c r="R126" s="84"/>
      <c r="S126" s="84"/>
      <c r="T126" s="84"/>
      <c r="U126" s="84"/>
      <c r="V126" s="84"/>
      <c r="W126" s="84"/>
      <c r="X126" s="84"/>
      <c r="Y126" s="84"/>
      <c r="Z126" s="84"/>
      <c r="AA126" s="84"/>
      <c r="AB126" s="84"/>
      <c r="AC126" s="84"/>
      <c r="AD126" s="84"/>
      <c r="AE126" s="84"/>
      <c r="AF126" s="84"/>
      <c r="AG126" s="84">
        <v>0.17</v>
      </c>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78">
        <f t="shared" si="15"/>
        <v>0</v>
      </c>
      <c r="BK126" s="84"/>
      <c r="BL126" s="44">
        <v>15</v>
      </c>
      <c r="BM126" s="79">
        <f t="shared" si="13"/>
        <v>0</v>
      </c>
      <c r="BN126" s="75"/>
      <c r="BO126" s="75"/>
    </row>
    <row r="127" spans="1:67" s="4" customFormat="1" ht="46.8" x14ac:dyDescent="0.3">
      <c r="A127" s="48">
        <v>2</v>
      </c>
      <c r="B127" s="42" t="s">
        <v>68</v>
      </c>
      <c r="C127" s="43" t="s">
        <v>33</v>
      </c>
      <c r="D127" s="41">
        <v>1.36</v>
      </c>
      <c r="E127" s="41"/>
      <c r="F127" s="41">
        <v>1.36</v>
      </c>
      <c r="G127" s="41">
        <v>1.26</v>
      </c>
      <c r="H127" s="41"/>
      <c r="I127" s="39"/>
      <c r="J127" s="41">
        <v>0.1</v>
      </c>
      <c r="K127" s="42" t="s">
        <v>915</v>
      </c>
      <c r="L127" s="117" t="s">
        <v>67</v>
      </c>
      <c r="M127" s="43">
        <v>2</v>
      </c>
      <c r="N127" s="210">
        <v>114</v>
      </c>
      <c r="O127" s="43"/>
      <c r="P127" s="48"/>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v>0.1</v>
      </c>
      <c r="AR127" s="115"/>
      <c r="AS127" s="115"/>
      <c r="AT127" s="115"/>
      <c r="AU127" s="115"/>
      <c r="AV127" s="115"/>
      <c r="AW127" s="115"/>
      <c r="AX127" s="115"/>
      <c r="AY127" s="115"/>
      <c r="AZ127" s="115"/>
      <c r="BA127" s="115"/>
      <c r="BB127" s="115"/>
      <c r="BC127" s="115"/>
      <c r="BD127" s="115"/>
      <c r="BE127" s="115"/>
      <c r="BF127" s="115"/>
      <c r="BG127" s="115"/>
      <c r="BH127" s="115"/>
      <c r="BI127" s="115"/>
      <c r="BJ127" s="78">
        <f t="shared" si="15"/>
        <v>0</v>
      </c>
      <c r="BK127" s="115"/>
      <c r="BL127" s="44">
        <v>15</v>
      </c>
      <c r="BM127" s="79">
        <f t="shared" si="13"/>
        <v>0</v>
      </c>
      <c r="BN127" s="75"/>
      <c r="BO127" s="75"/>
    </row>
    <row r="128" spans="1:67" s="4" customFormat="1" ht="33.75" customHeight="1" x14ac:dyDescent="0.3">
      <c r="A128" s="48">
        <v>3</v>
      </c>
      <c r="B128" s="42" t="s">
        <v>455</v>
      </c>
      <c r="C128" s="43" t="s">
        <v>33</v>
      </c>
      <c r="D128" s="41">
        <v>1.5</v>
      </c>
      <c r="E128" s="41">
        <v>1.1000000000000001</v>
      </c>
      <c r="F128" s="41">
        <v>0.4</v>
      </c>
      <c r="G128" s="41"/>
      <c r="H128" s="41"/>
      <c r="I128" s="39"/>
      <c r="J128" s="41">
        <v>0.4</v>
      </c>
      <c r="K128" s="117" t="s">
        <v>67</v>
      </c>
      <c r="L128" s="117" t="s">
        <v>67</v>
      </c>
      <c r="M128" s="43">
        <v>45</v>
      </c>
      <c r="N128" s="210">
        <v>115</v>
      </c>
      <c r="O128" s="43"/>
      <c r="P128" s="48"/>
      <c r="Q128" s="48"/>
      <c r="R128" s="48"/>
      <c r="S128" s="48"/>
      <c r="T128" s="48"/>
      <c r="U128" s="48"/>
      <c r="V128" s="48"/>
      <c r="W128" s="48"/>
      <c r="X128" s="48"/>
      <c r="Y128" s="48"/>
      <c r="Z128" s="48"/>
      <c r="AA128" s="48"/>
      <c r="AB128" s="48"/>
      <c r="AC128" s="48"/>
      <c r="AD128" s="48"/>
      <c r="AE128" s="48"/>
      <c r="AF128" s="48"/>
      <c r="AG128" s="48">
        <v>0.4</v>
      </c>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78">
        <f t="shared" si="15"/>
        <v>0</v>
      </c>
      <c r="BK128" s="115"/>
      <c r="BL128" s="44">
        <v>15</v>
      </c>
      <c r="BM128" s="79">
        <f t="shared" si="13"/>
        <v>0</v>
      </c>
      <c r="BN128" s="75"/>
      <c r="BO128" s="75"/>
    </row>
    <row r="129" spans="1:67" s="4" customFormat="1" ht="31.5" customHeight="1" x14ac:dyDescent="0.3">
      <c r="A129" s="48">
        <v>4</v>
      </c>
      <c r="B129" s="42" t="s">
        <v>456</v>
      </c>
      <c r="C129" s="43" t="s">
        <v>33</v>
      </c>
      <c r="D129" s="39">
        <v>0.17</v>
      </c>
      <c r="E129" s="39"/>
      <c r="F129" s="39">
        <v>0.17</v>
      </c>
      <c r="G129" s="39">
        <v>0.17</v>
      </c>
      <c r="H129" s="39"/>
      <c r="I129" s="39"/>
      <c r="J129" s="39"/>
      <c r="K129" s="92" t="s">
        <v>929</v>
      </c>
      <c r="L129" s="117" t="s">
        <v>67</v>
      </c>
      <c r="M129" s="43">
        <v>53</v>
      </c>
      <c r="N129" s="210">
        <v>116</v>
      </c>
      <c r="O129" s="43"/>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78">
        <f t="shared" si="15"/>
        <v>0</v>
      </c>
      <c r="BK129" s="115"/>
      <c r="BL129" s="44">
        <v>15</v>
      </c>
      <c r="BM129" s="79">
        <f t="shared" si="13"/>
        <v>0</v>
      </c>
      <c r="BN129" s="75"/>
      <c r="BO129" s="75"/>
    </row>
    <row r="130" spans="1:67" s="4" customFormat="1" ht="31.2" x14ac:dyDescent="0.3">
      <c r="A130" s="48">
        <v>5</v>
      </c>
      <c r="B130" s="42" t="s">
        <v>275</v>
      </c>
      <c r="C130" s="48" t="s">
        <v>33</v>
      </c>
      <c r="D130" s="39">
        <v>0.21</v>
      </c>
      <c r="E130" s="39"/>
      <c r="F130" s="39">
        <f>D130</f>
        <v>0.21</v>
      </c>
      <c r="G130" s="39"/>
      <c r="H130" s="41"/>
      <c r="I130" s="39"/>
      <c r="J130" s="107">
        <v>0.21</v>
      </c>
      <c r="K130" s="42" t="s">
        <v>86</v>
      </c>
      <c r="L130" s="42" t="s">
        <v>81</v>
      </c>
      <c r="M130" s="48">
        <v>53</v>
      </c>
      <c r="N130" s="206">
        <v>117</v>
      </c>
      <c r="O130" s="48"/>
      <c r="P130" s="84"/>
      <c r="Q130" s="84"/>
      <c r="R130" s="84"/>
      <c r="S130" s="84"/>
      <c r="T130" s="84"/>
      <c r="U130" s="84"/>
      <c r="V130" s="84"/>
      <c r="W130" s="84"/>
      <c r="X130" s="84"/>
      <c r="Y130" s="84"/>
      <c r="Z130" s="84">
        <v>0.21</v>
      </c>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78">
        <f t="shared" si="15"/>
        <v>0</v>
      </c>
      <c r="BK130" s="84"/>
      <c r="BL130" s="44">
        <v>15</v>
      </c>
      <c r="BM130" s="79">
        <f t="shared" si="13"/>
        <v>0</v>
      </c>
      <c r="BN130" s="75"/>
      <c r="BO130" s="75"/>
    </row>
    <row r="131" spans="1:67" s="4" customFormat="1" ht="22.5" customHeight="1" x14ac:dyDescent="0.3">
      <c r="A131" s="48">
        <v>6</v>
      </c>
      <c r="B131" s="42" t="s">
        <v>275</v>
      </c>
      <c r="C131" s="48" t="s">
        <v>33</v>
      </c>
      <c r="D131" s="39">
        <v>0.24</v>
      </c>
      <c r="E131" s="39"/>
      <c r="F131" s="39">
        <v>0.24</v>
      </c>
      <c r="G131" s="41">
        <v>0.24</v>
      </c>
      <c r="H131" s="41"/>
      <c r="I131" s="39"/>
      <c r="J131" s="41"/>
      <c r="K131" s="94" t="s">
        <v>881</v>
      </c>
      <c r="L131" s="42" t="s">
        <v>91</v>
      </c>
      <c r="M131" s="48">
        <v>3</v>
      </c>
      <c r="N131" s="206">
        <v>118</v>
      </c>
      <c r="O131" s="48"/>
      <c r="P131" s="42"/>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78">
        <f t="shared" si="15"/>
        <v>0</v>
      </c>
      <c r="BK131" s="84"/>
      <c r="BL131" s="44">
        <v>15</v>
      </c>
      <c r="BM131" s="79">
        <f t="shared" si="13"/>
        <v>0</v>
      </c>
      <c r="BN131" s="75"/>
      <c r="BO131" s="75"/>
    </row>
    <row r="132" spans="1:67" s="4" customFormat="1" ht="33.75" customHeight="1" x14ac:dyDescent="0.3">
      <c r="A132" s="48">
        <v>7</v>
      </c>
      <c r="B132" s="42" t="s">
        <v>275</v>
      </c>
      <c r="C132" s="48" t="s">
        <v>33</v>
      </c>
      <c r="D132" s="39">
        <v>0.12</v>
      </c>
      <c r="E132" s="39"/>
      <c r="F132" s="39">
        <v>0.12</v>
      </c>
      <c r="G132" s="39">
        <v>0.12</v>
      </c>
      <c r="H132" s="41"/>
      <c r="I132" s="39"/>
      <c r="J132" s="39"/>
      <c r="K132" s="42" t="s">
        <v>975</v>
      </c>
      <c r="L132" s="42" t="s">
        <v>93</v>
      </c>
      <c r="M132" s="48">
        <v>36</v>
      </c>
      <c r="N132" s="206">
        <v>119</v>
      </c>
      <c r="O132" s="48"/>
      <c r="P132" s="48"/>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78">
        <f t="shared" si="15"/>
        <v>0</v>
      </c>
      <c r="BK132" s="84"/>
      <c r="BL132" s="44">
        <v>15</v>
      </c>
      <c r="BM132" s="79">
        <f t="shared" si="13"/>
        <v>0</v>
      </c>
      <c r="BN132" s="75"/>
      <c r="BO132" s="75"/>
    </row>
    <row r="133" spans="1:67" s="4" customFormat="1" x14ac:dyDescent="0.3">
      <c r="A133" s="48">
        <v>8</v>
      </c>
      <c r="B133" s="42" t="s">
        <v>275</v>
      </c>
      <c r="C133" s="39" t="s">
        <v>33</v>
      </c>
      <c r="D133" s="41">
        <v>0.23</v>
      </c>
      <c r="E133" s="41"/>
      <c r="F133" s="41">
        <v>0.23</v>
      </c>
      <c r="G133" s="39">
        <v>0.23</v>
      </c>
      <c r="H133" s="39"/>
      <c r="I133" s="39"/>
      <c r="J133" s="39"/>
      <c r="K133" s="50" t="s">
        <v>106</v>
      </c>
      <c r="L133" s="50" t="s">
        <v>102</v>
      </c>
      <c r="M133" s="110">
        <v>15</v>
      </c>
      <c r="N133" s="211">
        <v>120</v>
      </c>
      <c r="O133" s="110"/>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78">
        <f t="shared" si="15"/>
        <v>0</v>
      </c>
      <c r="BK133" s="39"/>
      <c r="BL133" s="44">
        <v>15</v>
      </c>
      <c r="BM133" s="79">
        <f t="shared" si="13"/>
        <v>0</v>
      </c>
      <c r="BN133" s="75"/>
      <c r="BO133" s="75"/>
    </row>
    <row r="134" spans="1:67" s="4" customFormat="1" x14ac:dyDescent="0.3">
      <c r="A134" s="48">
        <v>9</v>
      </c>
      <c r="B134" s="42" t="s">
        <v>275</v>
      </c>
      <c r="C134" s="39" t="s">
        <v>33</v>
      </c>
      <c r="D134" s="39">
        <v>0.2</v>
      </c>
      <c r="E134" s="39"/>
      <c r="F134" s="39">
        <v>0.2</v>
      </c>
      <c r="G134" s="39"/>
      <c r="H134" s="39">
        <v>0</v>
      </c>
      <c r="I134" s="39"/>
      <c r="J134" s="39">
        <v>0.2</v>
      </c>
      <c r="K134" s="50" t="s">
        <v>128</v>
      </c>
      <c r="L134" s="122" t="s">
        <v>125</v>
      </c>
      <c r="M134" s="110">
        <v>20</v>
      </c>
      <c r="N134" s="211">
        <v>121</v>
      </c>
      <c r="O134" s="110"/>
      <c r="P134" s="39"/>
      <c r="Q134" s="39"/>
      <c r="R134" s="39"/>
      <c r="S134" s="39"/>
      <c r="T134" s="39"/>
      <c r="U134" s="39"/>
      <c r="V134" s="39"/>
      <c r="W134" s="39"/>
      <c r="X134" s="39"/>
      <c r="Y134" s="39"/>
      <c r="Z134" s="39"/>
      <c r="AA134" s="39"/>
      <c r="AB134" s="39"/>
      <c r="AC134" s="39"/>
      <c r="AD134" s="39">
        <v>0.2</v>
      </c>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78">
        <f t="shared" ref="BJ134:BJ152" si="18">D134-E134-F134</f>
        <v>0</v>
      </c>
      <c r="BK134" s="39"/>
      <c r="BL134" s="44">
        <v>15</v>
      </c>
      <c r="BM134" s="79">
        <f t="shared" ref="BM134:BM205" si="19">J134-SUM(V134:BH134)</f>
        <v>0</v>
      </c>
      <c r="BN134" s="75"/>
      <c r="BO134" s="75"/>
    </row>
    <row r="135" spans="1:67" s="4" customFormat="1" x14ac:dyDescent="0.3">
      <c r="A135" s="48">
        <v>10</v>
      </c>
      <c r="B135" s="42" t="s">
        <v>275</v>
      </c>
      <c r="C135" s="39" t="s">
        <v>33</v>
      </c>
      <c r="D135" s="39">
        <v>0.2</v>
      </c>
      <c r="E135" s="39"/>
      <c r="F135" s="39">
        <v>0.2</v>
      </c>
      <c r="G135" s="39">
        <v>0.2</v>
      </c>
      <c r="H135" s="39"/>
      <c r="I135" s="39"/>
      <c r="J135" s="39">
        <v>0</v>
      </c>
      <c r="K135" s="50" t="s">
        <v>153</v>
      </c>
      <c r="L135" s="50" t="s">
        <v>154</v>
      </c>
      <c r="M135" s="99">
        <v>26</v>
      </c>
      <c r="N135" s="207">
        <v>122</v>
      </c>
      <c r="O135" s="9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78">
        <f t="shared" si="18"/>
        <v>0</v>
      </c>
      <c r="BK135" s="39"/>
      <c r="BL135" s="44">
        <v>15</v>
      </c>
      <c r="BM135" s="79">
        <f t="shared" si="19"/>
        <v>0</v>
      </c>
      <c r="BN135" s="75"/>
      <c r="BO135" s="75"/>
    </row>
    <row r="136" spans="1:67" s="4" customFormat="1" x14ac:dyDescent="0.3">
      <c r="A136" s="48">
        <v>11</v>
      </c>
      <c r="B136" s="42" t="s">
        <v>275</v>
      </c>
      <c r="C136" s="41" t="s">
        <v>33</v>
      </c>
      <c r="D136" s="41">
        <v>0.21</v>
      </c>
      <c r="E136" s="41"/>
      <c r="F136" s="41">
        <v>0.21</v>
      </c>
      <c r="G136" s="41">
        <v>0.21</v>
      </c>
      <c r="H136" s="41"/>
      <c r="I136" s="41"/>
      <c r="J136" s="41"/>
      <c r="K136" s="50" t="s">
        <v>187</v>
      </c>
      <c r="L136" s="50" t="s">
        <v>179</v>
      </c>
      <c r="M136" s="110">
        <v>80</v>
      </c>
      <c r="N136" s="211">
        <v>123</v>
      </c>
      <c r="O136" s="110"/>
      <c r="P136" s="50"/>
      <c r="Q136" s="50"/>
      <c r="R136" s="50"/>
      <c r="S136" s="50"/>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78">
        <f t="shared" si="18"/>
        <v>0</v>
      </c>
      <c r="BK136" s="84"/>
      <c r="BL136" s="44">
        <v>15</v>
      </c>
      <c r="BM136" s="79">
        <f t="shared" si="19"/>
        <v>0</v>
      </c>
      <c r="BN136" s="75"/>
      <c r="BO136" s="75"/>
    </row>
    <row r="137" spans="1:67" s="4" customFormat="1" x14ac:dyDescent="0.3">
      <c r="A137" s="48">
        <v>12</v>
      </c>
      <c r="B137" s="42" t="s">
        <v>275</v>
      </c>
      <c r="C137" s="39" t="s">
        <v>33</v>
      </c>
      <c r="D137" s="41">
        <v>0.18</v>
      </c>
      <c r="E137" s="41"/>
      <c r="F137" s="41">
        <v>0.18</v>
      </c>
      <c r="G137" s="39"/>
      <c r="H137" s="39"/>
      <c r="I137" s="39"/>
      <c r="J137" s="39">
        <v>0.18</v>
      </c>
      <c r="K137" s="50" t="s">
        <v>207</v>
      </c>
      <c r="L137" s="50" t="s">
        <v>208</v>
      </c>
      <c r="M137" s="110">
        <v>1</v>
      </c>
      <c r="N137" s="211">
        <v>124</v>
      </c>
      <c r="O137" s="110"/>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v>0.18</v>
      </c>
      <c r="BF137" s="39"/>
      <c r="BG137" s="39"/>
      <c r="BH137" s="39"/>
      <c r="BI137" s="39"/>
      <c r="BJ137" s="78">
        <f t="shared" si="18"/>
        <v>0</v>
      </c>
      <c r="BK137" s="84"/>
      <c r="BL137" s="44">
        <v>15</v>
      </c>
      <c r="BM137" s="79">
        <f t="shared" si="19"/>
        <v>0</v>
      </c>
      <c r="BN137" s="75"/>
      <c r="BO137" s="75"/>
    </row>
    <row r="138" spans="1:67" s="4" customFormat="1" x14ac:dyDescent="0.3">
      <c r="A138" s="48">
        <v>13</v>
      </c>
      <c r="B138" s="42" t="s">
        <v>275</v>
      </c>
      <c r="C138" s="48" t="s">
        <v>33</v>
      </c>
      <c r="D138" s="39">
        <v>0.25</v>
      </c>
      <c r="E138" s="39"/>
      <c r="F138" s="39">
        <v>0.25</v>
      </c>
      <c r="G138" s="39"/>
      <c r="H138" s="39"/>
      <c r="I138" s="39"/>
      <c r="J138" s="39">
        <v>0.25</v>
      </c>
      <c r="K138" s="42" t="s">
        <v>976</v>
      </c>
      <c r="L138" s="42" t="s">
        <v>233</v>
      </c>
      <c r="M138" s="44">
        <v>16</v>
      </c>
      <c r="N138" s="209">
        <v>125</v>
      </c>
      <c r="O138" s="4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v>0.21</v>
      </c>
      <c r="AN138" s="84"/>
      <c r="AO138" s="84"/>
      <c r="AP138" s="84"/>
      <c r="AQ138" s="84"/>
      <c r="AR138" s="84"/>
      <c r="AS138" s="84"/>
      <c r="AT138" s="84"/>
      <c r="AU138" s="84"/>
      <c r="AV138" s="84"/>
      <c r="AW138" s="84"/>
      <c r="AX138" s="84"/>
      <c r="AY138" s="84"/>
      <c r="AZ138" s="84"/>
      <c r="BA138" s="84"/>
      <c r="BB138" s="84"/>
      <c r="BC138" s="84"/>
      <c r="BD138" s="84"/>
      <c r="BE138" s="84">
        <v>0.04</v>
      </c>
      <c r="BF138" s="84"/>
      <c r="BG138" s="84"/>
      <c r="BH138" s="84"/>
      <c r="BI138" s="84"/>
      <c r="BJ138" s="78">
        <f t="shared" si="18"/>
        <v>0</v>
      </c>
      <c r="BK138" s="97"/>
      <c r="BL138" s="44">
        <v>15</v>
      </c>
      <c r="BM138" s="79">
        <f t="shared" si="19"/>
        <v>0</v>
      </c>
      <c r="BN138" s="75"/>
      <c r="BO138" s="75"/>
    </row>
    <row r="139" spans="1:67" s="4" customFormat="1" ht="31.2" x14ac:dyDescent="0.3">
      <c r="A139" s="48">
        <v>14</v>
      </c>
      <c r="B139" s="42" t="s">
        <v>239</v>
      </c>
      <c r="C139" s="48" t="s">
        <v>33</v>
      </c>
      <c r="D139" s="39">
        <v>21.7</v>
      </c>
      <c r="E139" s="39"/>
      <c r="F139" s="39">
        <v>21.7</v>
      </c>
      <c r="G139" s="39">
        <v>21.7</v>
      </c>
      <c r="H139" s="39"/>
      <c r="I139" s="39"/>
      <c r="J139" s="39"/>
      <c r="K139" s="42" t="s">
        <v>977</v>
      </c>
      <c r="L139" s="42" t="s">
        <v>233</v>
      </c>
      <c r="M139" s="44">
        <v>17</v>
      </c>
      <c r="N139" s="209">
        <v>126</v>
      </c>
      <c r="O139" s="42" t="s">
        <v>1185</v>
      </c>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78">
        <f t="shared" si="18"/>
        <v>0</v>
      </c>
      <c r="BK139" s="97"/>
      <c r="BL139" s="44">
        <v>15</v>
      </c>
      <c r="BM139" s="79">
        <f t="shared" si="19"/>
        <v>0</v>
      </c>
      <c r="BN139" s="75"/>
      <c r="BO139" s="75"/>
    </row>
    <row r="140" spans="1:67" s="4" customFormat="1" x14ac:dyDescent="0.3">
      <c r="A140" s="48">
        <v>15</v>
      </c>
      <c r="B140" s="42" t="s">
        <v>240</v>
      </c>
      <c r="C140" s="48" t="s">
        <v>33</v>
      </c>
      <c r="D140" s="39">
        <v>14.8</v>
      </c>
      <c r="E140" s="39"/>
      <c r="F140" s="39">
        <v>14.8</v>
      </c>
      <c r="G140" s="39"/>
      <c r="H140" s="39"/>
      <c r="I140" s="39"/>
      <c r="J140" s="39">
        <v>14.8</v>
      </c>
      <c r="K140" s="42" t="s">
        <v>967</v>
      </c>
      <c r="L140" s="42" t="s">
        <v>233</v>
      </c>
      <c r="M140" s="44">
        <v>18</v>
      </c>
      <c r="N140" s="209">
        <v>127</v>
      </c>
      <c r="O140" s="4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v>14.8</v>
      </c>
      <c r="BF140" s="84"/>
      <c r="BG140" s="84"/>
      <c r="BH140" s="84"/>
      <c r="BI140" s="84"/>
      <c r="BJ140" s="78">
        <f t="shared" si="18"/>
        <v>0</v>
      </c>
      <c r="BK140" s="97"/>
      <c r="BL140" s="44">
        <v>15</v>
      </c>
      <c r="BM140" s="79">
        <f t="shared" si="19"/>
        <v>0</v>
      </c>
      <c r="BN140" s="75"/>
      <c r="BO140" s="75"/>
    </row>
    <row r="141" spans="1:67" s="4" customFormat="1" x14ac:dyDescent="0.3">
      <c r="A141" s="48">
        <v>16</v>
      </c>
      <c r="B141" s="42" t="s">
        <v>275</v>
      </c>
      <c r="C141" s="48" t="s">
        <v>33</v>
      </c>
      <c r="D141" s="41">
        <v>0.2</v>
      </c>
      <c r="E141" s="41"/>
      <c r="F141" s="41">
        <v>0.2</v>
      </c>
      <c r="G141" s="39">
        <v>0.2</v>
      </c>
      <c r="H141" s="39"/>
      <c r="I141" s="39"/>
      <c r="J141" s="39"/>
      <c r="K141" s="42" t="s">
        <v>247</v>
      </c>
      <c r="L141" s="42" t="s">
        <v>247</v>
      </c>
      <c r="M141" s="48">
        <v>3</v>
      </c>
      <c r="N141" s="206">
        <v>128</v>
      </c>
      <c r="O141" s="48"/>
      <c r="P141" s="84"/>
      <c r="Q141" s="84"/>
      <c r="R141" s="84"/>
      <c r="S141" s="84"/>
      <c r="T141" s="84"/>
      <c r="U141" s="84"/>
      <c r="V141" s="84"/>
      <c r="W141" s="84"/>
      <c r="X141" s="84"/>
      <c r="Y141" s="84"/>
      <c r="Z141" s="84"/>
      <c r="AA141" s="84"/>
      <c r="AB141" s="84"/>
      <c r="AC141" s="84"/>
      <c r="AD141" s="84"/>
      <c r="AE141" s="84"/>
      <c r="AF141" s="84"/>
      <c r="AG141" s="118"/>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78">
        <f t="shared" si="18"/>
        <v>0</v>
      </c>
      <c r="BK141" s="84"/>
      <c r="BL141" s="44">
        <v>15</v>
      </c>
      <c r="BM141" s="79">
        <f t="shared" si="19"/>
        <v>0</v>
      </c>
      <c r="BN141" s="75"/>
      <c r="BO141" s="75"/>
    </row>
    <row r="142" spans="1:67" s="4" customFormat="1" x14ac:dyDescent="0.3">
      <c r="A142" s="48">
        <v>17</v>
      </c>
      <c r="B142" s="42" t="s">
        <v>275</v>
      </c>
      <c r="C142" s="48" t="s">
        <v>33</v>
      </c>
      <c r="D142" s="39">
        <v>0.2</v>
      </c>
      <c r="E142" s="39"/>
      <c r="F142" s="39">
        <v>0.2</v>
      </c>
      <c r="G142" s="39"/>
      <c r="H142" s="39"/>
      <c r="I142" s="39"/>
      <c r="J142" s="39">
        <v>0.2</v>
      </c>
      <c r="K142" s="42" t="s">
        <v>978</v>
      </c>
      <c r="L142" s="42" t="s">
        <v>261</v>
      </c>
      <c r="M142" s="48">
        <v>27</v>
      </c>
      <c r="N142" s="206">
        <v>129</v>
      </c>
      <c r="O142" s="48"/>
      <c r="P142" s="84"/>
      <c r="Q142" s="84"/>
      <c r="R142" s="84"/>
      <c r="S142" s="84"/>
      <c r="T142" s="84"/>
      <c r="U142" s="84"/>
      <c r="V142" s="84"/>
      <c r="W142" s="84"/>
      <c r="X142" s="84"/>
      <c r="Y142" s="84"/>
      <c r="Z142" s="84"/>
      <c r="AA142" s="84"/>
      <c r="AB142" s="84"/>
      <c r="AC142" s="84"/>
      <c r="AD142" s="84"/>
      <c r="AE142" s="84"/>
      <c r="AF142" s="84"/>
      <c r="AG142" s="84">
        <v>0.2</v>
      </c>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118"/>
      <c r="BF142" s="84"/>
      <c r="BG142" s="84"/>
      <c r="BH142" s="84"/>
      <c r="BI142" s="84"/>
      <c r="BJ142" s="78">
        <f t="shared" si="18"/>
        <v>0</v>
      </c>
      <c r="BK142" s="84"/>
      <c r="BL142" s="44">
        <v>15</v>
      </c>
      <c r="BM142" s="79">
        <f t="shared" si="19"/>
        <v>0</v>
      </c>
      <c r="BN142" s="75"/>
      <c r="BO142" s="75"/>
    </row>
    <row r="143" spans="1:67" s="4" customFormat="1" ht="31.2" x14ac:dyDescent="0.3">
      <c r="A143" s="48">
        <v>18</v>
      </c>
      <c r="B143" s="42" t="s">
        <v>275</v>
      </c>
      <c r="C143" s="48" t="s">
        <v>33</v>
      </c>
      <c r="D143" s="41">
        <v>0.2</v>
      </c>
      <c r="E143" s="41"/>
      <c r="F143" s="41">
        <v>0.2</v>
      </c>
      <c r="G143" s="39">
        <v>0.2</v>
      </c>
      <c r="H143" s="39"/>
      <c r="I143" s="39"/>
      <c r="J143" s="39"/>
      <c r="K143" s="42" t="s">
        <v>979</v>
      </c>
      <c r="L143" s="42" t="s">
        <v>280</v>
      </c>
      <c r="M143" s="48">
        <v>5</v>
      </c>
      <c r="N143" s="206">
        <v>130</v>
      </c>
      <c r="O143" s="48"/>
      <c r="P143" s="84"/>
      <c r="Q143" s="84"/>
      <c r="R143" s="84"/>
      <c r="S143" s="84"/>
      <c r="T143" s="84"/>
      <c r="U143" s="84"/>
      <c r="V143" s="84"/>
      <c r="W143" s="84"/>
      <c r="X143" s="84"/>
      <c r="Y143" s="84"/>
      <c r="Z143" s="84"/>
      <c r="AA143" s="84"/>
      <c r="AB143" s="84"/>
      <c r="AC143" s="84"/>
      <c r="AD143" s="84"/>
      <c r="AE143" s="84"/>
      <c r="AF143" s="84"/>
      <c r="AG143" s="118"/>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78">
        <f t="shared" si="18"/>
        <v>0</v>
      </c>
      <c r="BK143" s="84"/>
      <c r="BL143" s="44">
        <v>15</v>
      </c>
      <c r="BM143" s="79">
        <f t="shared" si="19"/>
        <v>0</v>
      </c>
      <c r="BN143" s="75"/>
      <c r="BO143" s="75"/>
    </row>
    <row r="144" spans="1:67" s="4" customFormat="1" ht="24" customHeight="1" x14ac:dyDescent="0.3">
      <c r="A144" s="48">
        <v>19</v>
      </c>
      <c r="B144" s="42" t="s">
        <v>275</v>
      </c>
      <c r="C144" s="48" t="s">
        <v>33</v>
      </c>
      <c r="D144" s="39">
        <v>0.2</v>
      </c>
      <c r="E144" s="39"/>
      <c r="F144" s="39">
        <v>0.2</v>
      </c>
      <c r="G144" s="39"/>
      <c r="H144" s="39"/>
      <c r="I144" s="39"/>
      <c r="J144" s="39">
        <v>0.2</v>
      </c>
      <c r="K144" s="42" t="s">
        <v>980</v>
      </c>
      <c r="L144" s="42" t="s">
        <v>285</v>
      </c>
      <c r="M144" s="48">
        <v>10</v>
      </c>
      <c r="N144" s="206">
        <v>131</v>
      </c>
      <c r="O144" s="48"/>
      <c r="P144" s="84"/>
      <c r="Q144" s="84"/>
      <c r="R144" s="84"/>
      <c r="S144" s="84"/>
      <c r="T144" s="84"/>
      <c r="U144" s="84"/>
      <c r="V144" s="84"/>
      <c r="W144" s="84"/>
      <c r="X144" s="84"/>
      <c r="Y144" s="84"/>
      <c r="Z144" s="84"/>
      <c r="AA144" s="84"/>
      <c r="AB144" s="84">
        <v>0.2</v>
      </c>
      <c r="AC144" s="84"/>
      <c r="AD144" s="84"/>
      <c r="AE144" s="84"/>
      <c r="AF144" s="84"/>
      <c r="AG144" s="84"/>
      <c r="AH144" s="84"/>
      <c r="AI144" s="84"/>
      <c r="AJ144" s="84"/>
      <c r="AK144" s="84"/>
      <c r="AL144" s="84"/>
      <c r="AM144" s="84"/>
      <c r="AN144" s="84"/>
      <c r="AO144" s="118"/>
      <c r="AP144" s="84"/>
      <c r="AQ144" s="84"/>
      <c r="AR144" s="84"/>
      <c r="AS144" s="84"/>
      <c r="AT144" s="84"/>
      <c r="AU144" s="84"/>
      <c r="AV144" s="84"/>
      <c r="AW144" s="84"/>
      <c r="AX144" s="84"/>
      <c r="AY144" s="84"/>
      <c r="AZ144" s="84"/>
      <c r="BA144" s="84"/>
      <c r="BB144" s="84"/>
      <c r="BC144" s="84"/>
      <c r="BD144" s="84"/>
      <c r="BE144" s="118"/>
      <c r="BF144" s="84"/>
      <c r="BG144" s="84"/>
      <c r="BH144" s="84"/>
      <c r="BI144" s="84"/>
      <c r="BJ144" s="78">
        <f t="shared" si="18"/>
        <v>0</v>
      </c>
      <c r="BK144" s="84"/>
      <c r="BL144" s="44">
        <v>15</v>
      </c>
      <c r="BM144" s="79">
        <f t="shared" si="19"/>
        <v>0</v>
      </c>
      <c r="BN144" s="75"/>
      <c r="BO144" s="75"/>
    </row>
    <row r="145" spans="1:67" s="4" customFormat="1" x14ac:dyDescent="0.3">
      <c r="A145" s="48">
        <v>20</v>
      </c>
      <c r="B145" s="42" t="s">
        <v>275</v>
      </c>
      <c r="C145" s="48" t="s">
        <v>33</v>
      </c>
      <c r="D145" s="39">
        <v>0.2</v>
      </c>
      <c r="E145" s="39"/>
      <c r="F145" s="39">
        <v>0.2</v>
      </c>
      <c r="G145" s="39"/>
      <c r="H145" s="39"/>
      <c r="I145" s="39"/>
      <c r="J145" s="39">
        <f>SUM(X145:BG145)</f>
        <v>0.2</v>
      </c>
      <c r="K145" s="42" t="s">
        <v>346</v>
      </c>
      <c r="L145" s="42" t="s">
        <v>347</v>
      </c>
      <c r="M145" s="44">
        <v>23</v>
      </c>
      <c r="N145" s="209">
        <v>132</v>
      </c>
      <c r="O145" s="4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v>0.2</v>
      </c>
      <c r="BF145" s="84"/>
      <c r="BG145" s="84"/>
      <c r="BH145" s="79">
        <f>J145-SUM(V145:BG145)</f>
        <v>0</v>
      </c>
      <c r="BI145" s="79"/>
      <c r="BJ145" s="78">
        <f t="shared" si="18"/>
        <v>0</v>
      </c>
      <c r="BK145" s="48"/>
      <c r="BL145" s="44">
        <v>15</v>
      </c>
      <c r="BM145" s="79">
        <f t="shared" si="19"/>
        <v>0</v>
      </c>
      <c r="BN145" s="75"/>
      <c r="BO145" s="75"/>
    </row>
    <row r="146" spans="1:67" s="4" customFormat="1" ht="34.5" customHeight="1" x14ac:dyDescent="0.3">
      <c r="A146" s="48">
        <v>21</v>
      </c>
      <c r="B146" s="42" t="s">
        <v>275</v>
      </c>
      <c r="C146" s="48" t="s">
        <v>33</v>
      </c>
      <c r="D146" s="39">
        <v>0.2</v>
      </c>
      <c r="E146" s="39"/>
      <c r="F146" s="39">
        <v>0.2</v>
      </c>
      <c r="G146" s="39">
        <v>0.2</v>
      </c>
      <c r="H146" s="39"/>
      <c r="I146" s="39"/>
      <c r="J146" s="39">
        <f>SUM(Z146:BG146)</f>
        <v>0</v>
      </c>
      <c r="K146" s="42" t="s">
        <v>295</v>
      </c>
      <c r="L146" s="42" t="s">
        <v>294</v>
      </c>
      <c r="M146" s="44">
        <v>32</v>
      </c>
      <c r="N146" s="209">
        <v>133</v>
      </c>
      <c r="O146" s="44"/>
      <c r="P146" s="84"/>
      <c r="Q146" s="84"/>
      <c r="R146" s="84"/>
      <c r="S146" s="84"/>
      <c r="T146" s="84"/>
      <c r="U146" s="84"/>
      <c r="V146" s="84"/>
      <c r="W146" s="84"/>
      <c r="X146" s="84"/>
      <c r="Y146" s="84"/>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78">
        <f t="shared" si="18"/>
        <v>0</v>
      </c>
      <c r="BK146" s="48"/>
      <c r="BL146" s="44">
        <v>15</v>
      </c>
      <c r="BM146" s="79">
        <f t="shared" si="19"/>
        <v>0</v>
      </c>
      <c r="BN146" s="75"/>
      <c r="BO146" s="75"/>
    </row>
    <row r="147" spans="1:67" s="4" customFormat="1" ht="25.5" customHeight="1" x14ac:dyDescent="0.3">
      <c r="A147" s="48">
        <v>22</v>
      </c>
      <c r="B147" s="42" t="s">
        <v>275</v>
      </c>
      <c r="C147" s="48" t="s">
        <v>33</v>
      </c>
      <c r="D147" s="39">
        <v>0.2</v>
      </c>
      <c r="E147" s="39"/>
      <c r="F147" s="39">
        <v>0.2</v>
      </c>
      <c r="G147" s="39">
        <v>0.2</v>
      </c>
      <c r="H147" s="39"/>
      <c r="I147" s="39"/>
      <c r="J147" s="39">
        <f>SUM(V147:BG147)</f>
        <v>0</v>
      </c>
      <c r="K147" s="42" t="s">
        <v>363</v>
      </c>
      <c r="L147" s="42" t="s">
        <v>364</v>
      </c>
      <c r="M147" s="44">
        <v>7</v>
      </c>
      <c r="N147" s="209">
        <v>134</v>
      </c>
      <c r="O147" s="44"/>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78">
        <f t="shared" si="18"/>
        <v>0</v>
      </c>
      <c r="BK147" s="84"/>
      <c r="BL147" s="44">
        <v>15</v>
      </c>
      <c r="BM147" s="79">
        <f t="shared" si="19"/>
        <v>0</v>
      </c>
      <c r="BN147" s="75"/>
      <c r="BO147" s="75"/>
    </row>
    <row r="148" spans="1:67" s="12" customFormat="1" x14ac:dyDescent="0.3">
      <c r="A148" s="48">
        <v>23</v>
      </c>
      <c r="B148" s="42" t="s">
        <v>275</v>
      </c>
      <c r="C148" s="48" t="s">
        <v>33</v>
      </c>
      <c r="D148" s="39">
        <v>0.2</v>
      </c>
      <c r="E148" s="39"/>
      <c r="F148" s="39">
        <v>0.2</v>
      </c>
      <c r="G148" s="39">
        <v>0.2</v>
      </c>
      <c r="H148" s="39"/>
      <c r="I148" s="39"/>
      <c r="J148" s="39">
        <f>SUM(Z148:BG148)</f>
        <v>0</v>
      </c>
      <c r="K148" s="42" t="s">
        <v>380</v>
      </c>
      <c r="L148" s="42" t="s">
        <v>377</v>
      </c>
      <c r="M148" s="44">
        <v>23</v>
      </c>
      <c r="N148" s="209">
        <v>135</v>
      </c>
      <c r="O148" s="4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78">
        <f t="shared" si="18"/>
        <v>0</v>
      </c>
      <c r="BK148" s="84"/>
      <c r="BL148" s="44">
        <v>15</v>
      </c>
      <c r="BM148" s="79">
        <f t="shared" si="19"/>
        <v>0</v>
      </c>
      <c r="BN148" s="88"/>
      <c r="BO148" s="88"/>
    </row>
    <row r="149" spans="1:67" s="4" customFormat="1" x14ac:dyDescent="0.3">
      <c r="A149" s="48">
        <v>24</v>
      </c>
      <c r="B149" s="42" t="s">
        <v>275</v>
      </c>
      <c r="C149" s="48" t="s">
        <v>33</v>
      </c>
      <c r="D149" s="39">
        <v>0.2</v>
      </c>
      <c r="E149" s="39"/>
      <c r="F149" s="39">
        <v>0.2</v>
      </c>
      <c r="G149" s="39">
        <v>0.2</v>
      </c>
      <c r="H149" s="39"/>
      <c r="I149" s="39"/>
      <c r="J149" s="39">
        <f>SUM(P149:BE149)</f>
        <v>0</v>
      </c>
      <c r="K149" s="102" t="s">
        <v>396</v>
      </c>
      <c r="L149" s="42" t="s">
        <v>395</v>
      </c>
      <c r="M149" s="44">
        <v>26</v>
      </c>
      <c r="N149" s="209">
        <v>136</v>
      </c>
      <c r="O149" s="44"/>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78">
        <f t="shared" si="18"/>
        <v>0</v>
      </c>
      <c r="BK149" s="84"/>
      <c r="BL149" s="44">
        <v>15</v>
      </c>
      <c r="BM149" s="79">
        <f t="shared" si="19"/>
        <v>0</v>
      </c>
      <c r="BN149" s="75"/>
      <c r="BO149" s="75"/>
    </row>
    <row r="150" spans="1:67" s="4" customFormat="1" x14ac:dyDescent="0.3">
      <c r="A150" s="48">
        <v>25</v>
      </c>
      <c r="B150" s="42" t="s">
        <v>275</v>
      </c>
      <c r="C150" s="48" t="s">
        <v>33</v>
      </c>
      <c r="D150" s="39">
        <v>0.2</v>
      </c>
      <c r="E150" s="39"/>
      <c r="F150" s="39">
        <v>0.2</v>
      </c>
      <c r="G150" s="39">
        <v>0.2</v>
      </c>
      <c r="H150" s="39"/>
      <c r="I150" s="39"/>
      <c r="J150" s="39"/>
      <c r="K150" s="102"/>
      <c r="L150" s="42" t="s">
        <v>415</v>
      </c>
      <c r="M150" s="44" t="s">
        <v>672</v>
      </c>
      <c r="N150" s="209">
        <v>137</v>
      </c>
      <c r="O150" s="44"/>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78">
        <f t="shared" si="18"/>
        <v>0</v>
      </c>
      <c r="BK150" s="84"/>
      <c r="BL150" s="44"/>
      <c r="BM150" s="79">
        <f t="shared" si="19"/>
        <v>0</v>
      </c>
      <c r="BN150" s="75"/>
      <c r="BO150" s="75"/>
    </row>
    <row r="151" spans="1:67" s="4" customFormat="1" ht="31.2" x14ac:dyDescent="0.3">
      <c r="A151" s="48">
        <v>26</v>
      </c>
      <c r="B151" s="42" t="s">
        <v>275</v>
      </c>
      <c r="C151" s="95" t="s">
        <v>33</v>
      </c>
      <c r="D151" s="41">
        <v>0.15</v>
      </c>
      <c r="E151" s="41"/>
      <c r="F151" s="41">
        <v>0.15</v>
      </c>
      <c r="G151" s="41"/>
      <c r="H151" s="41"/>
      <c r="I151" s="41"/>
      <c r="J151" s="41">
        <v>0.15</v>
      </c>
      <c r="K151" s="42" t="s">
        <v>688</v>
      </c>
      <c r="L151" s="42" t="s">
        <v>688</v>
      </c>
      <c r="M151" s="95">
        <v>40</v>
      </c>
      <c r="N151" s="212">
        <v>138</v>
      </c>
      <c r="O151" s="95"/>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v>0.15</v>
      </c>
      <c r="AW151" s="97"/>
      <c r="AX151" s="97"/>
      <c r="AY151" s="97"/>
      <c r="AZ151" s="97"/>
      <c r="BA151" s="97"/>
      <c r="BB151" s="97"/>
      <c r="BC151" s="97"/>
      <c r="BD151" s="97"/>
      <c r="BE151" s="97"/>
      <c r="BF151" s="97"/>
      <c r="BG151" s="97"/>
      <c r="BH151" s="97"/>
      <c r="BI151" s="97"/>
      <c r="BJ151" s="78">
        <f t="shared" si="18"/>
        <v>0</v>
      </c>
      <c r="BK151" s="97" t="s">
        <v>713</v>
      </c>
      <c r="BL151" s="97">
        <v>15</v>
      </c>
      <c r="BM151" s="79">
        <f t="shared" si="19"/>
        <v>0</v>
      </c>
      <c r="BN151" s="75"/>
      <c r="BO151" s="75"/>
    </row>
    <row r="152" spans="1:67" s="5" customFormat="1" x14ac:dyDescent="0.3">
      <c r="A152" s="76" t="s">
        <v>609</v>
      </c>
      <c r="B152" s="77" t="s">
        <v>610</v>
      </c>
      <c r="C152" s="80" t="s">
        <v>241</v>
      </c>
      <c r="D152" s="81">
        <f>D153</f>
        <v>1197.42</v>
      </c>
      <c r="E152" s="81">
        <f t="shared" ref="E152:BH152" si="20">E153</f>
        <v>0</v>
      </c>
      <c r="F152" s="81">
        <f t="shared" si="20"/>
        <v>1197.42</v>
      </c>
      <c r="G152" s="81">
        <f t="shared" si="20"/>
        <v>1042.2</v>
      </c>
      <c r="H152" s="81">
        <f t="shared" si="20"/>
        <v>0</v>
      </c>
      <c r="I152" s="81">
        <f t="shared" si="20"/>
        <v>0</v>
      </c>
      <c r="J152" s="81">
        <f t="shared" si="20"/>
        <v>155.22</v>
      </c>
      <c r="K152" s="91">
        <f t="shared" si="20"/>
        <v>0</v>
      </c>
      <c r="L152" s="91"/>
      <c r="M152" s="90">
        <f t="shared" si="20"/>
        <v>0</v>
      </c>
      <c r="N152" s="90"/>
      <c r="O152" s="90"/>
      <c r="P152" s="90">
        <f t="shared" si="20"/>
        <v>0</v>
      </c>
      <c r="Q152" s="90">
        <f t="shared" si="20"/>
        <v>0</v>
      </c>
      <c r="R152" s="90">
        <f t="shared" si="20"/>
        <v>0</v>
      </c>
      <c r="S152" s="90">
        <f t="shared" si="20"/>
        <v>0</v>
      </c>
      <c r="T152" s="90">
        <f t="shared" si="20"/>
        <v>0</v>
      </c>
      <c r="U152" s="90">
        <f t="shared" si="20"/>
        <v>0</v>
      </c>
      <c r="V152" s="90">
        <f t="shared" si="20"/>
        <v>0</v>
      </c>
      <c r="W152" s="90">
        <f t="shared" si="20"/>
        <v>0</v>
      </c>
      <c r="X152" s="90">
        <f t="shared" si="20"/>
        <v>0</v>
      </c>
      <c r="Y152" s="90">
        <f t="shared" si="20"/>
        <v>0</v>
      </c>
      <c r="Z152" s="90">
        <f t="shared" si="20"/>
        <v>0</v>
      </c>
      <c r="AA152" s="90">
        <f t="shared" si="20"/>
        <v>5</v>
      </c>
      <c r="AB152" s="90">
        <f t="shared" si="20"/>
        <v>3</v>
      </c>
      <c r="AC152" s="90">
        <f t="shared" si="20"/>
        <v>0</v>
      </c>
      <c r="AD152" s="90">
        <f t="shared" si="20"/>
        <v>61.9</v>
      </c>
      <c r="AE152" s="90">
        <f t="shared" si="20"/>
        <v>9.5</v>
      </c>
      <c r="AF152" s="90">
        <f t="shared" si="20"/>
        <v>0</v>
      </c>
      <c r="AG152" s="90">
        <f t="shared" si="20"/>
        <v>0</v>
      </c>
      <c r="AH152" s="90">
        <f t="shared" si="20"/>
        <v>0</v>
      </c>
      <c r="AI152" s="90">
        <f t="shared" si="20"/>
        <v>0</v>
      </c>
      <c r="AJ152" s="90">
        <f t="shared" si="20"/>
        <v>0</v>
      </c>
      <c r="AK152" s="90">
        <f t="shared" si="20"/>
        <v>0</v>
      </c>
      <c r="AL152" s="90">
        <f t="shared" si="20"/>
        <v>0</v>
      </c>
      <c r="AM152" s="90">
        <f t="shared" si="20"/>
        <v>0</v>
      </c>
      <c r="AN152" s="90">
        <f t="shared" si="20"/>
        <v>0</v>
      </c>
      <c r="AO152" s="90">
        <f t="shared" si="20"/>
        <v>0</v>
      </c>
      <c r="AP152" s="90">
        <f t="shared" si="20"/>
        <v>0</v>
      </c>
      <c r="AQ152" s="90">
        <f t="shared" si="20"/>
        <v>15.3</v>
      </c>
      <c r="AR152" s="90">
        <f t="shared" si="20"/>
        <v>20.2</v>
      </c>
      <c r="AS152" s="90">
        <f t="shared" si="20"/>
        <v>0</v>
      </c>
      <c r="AT152" s="90">
        <f t="shared" si="20"/>
        <v>0</v>
      </c>
      <c r="AU152" s="90">
        <f t="shared" si="20"/>
        <v>0</v>
      </c>
      <c r="AV152" s="90">
        <f t="shared" si="20"/>
        <v>0</v>
      </c>
      <c r="AW152" s="90">
        <f t="shared" si="20"/>
        <v>0</v>
      </c>
      <c r="AX152" s="90">
        <f t="shared" si="20"/>
        <v>0</v>
      </c>
      <c r="AY152" s="90">
        <f t="shared" si="20"/>
        <v>0</v>
      </c>
      <c r="AZ152" s="90">
        <f t="shared" si="20"/>
        <v>0</v>
      </c>
      <c r="BA152" s="90">
        <f t="shared" si="20"/>
        <v>0</v>
      </c>
      <c r="BB152" s="90">
        <f t="shared" si="20"/>
        <v>14.28</v>
      </c>
      <c r="BC152" s="90">
        <f t="shared" si="20"/>
        <v>1.3199999999999998</v>
      </c>
      <c r="BD152" s="90">
        <f t="shared" si="20"/>
        <v>0</v>
      </c>
      <c r="BE152" s="90">
        <f t="shared" si="20"/>
        <v>24.72</v>
      </c>
      <c r="BF152" s="90">
        <f t="shared" si="20"/>
        <v>0</v>
      </c>
      <c r="BG152" s="90">
        <f t="shared" si="20"/>
        <v>0</v>
      </c>
      <c r="BH152" s="90">
        <f t="shared" si="20"/>
        <v>0</v>
      </c>
      <c r="BI152" s="90"/>
      <c r="BJ152" s="78">
        <f t="shared" si="18"/>
        <v>0</v>
      </c>
      <c r="BK152" s="84"/>
      <c r="BL152" s="44">
        <v>16</v>
      </c>
      <c r="BM152" s="79">
        <f t="shared" si="19"/>
        <v>0</v>
      </c>
      <c r="BN152" s="75"/>
      <c r="BO152" s="75"/>
    </row>
    <row r="153" spans="1:67" s="14" customFormat="1" ht="46.8" x14ac:dyDescent="0.3">
      <c r="A153" s="219">
        <v>1</v>
      </c>
      <c r="B153" s="42" t="s">
        <v>272</v>
      </c>
      <c r="C153" s="48" t="s">
        <v>241</v>
      </c>
      <c r="D153" s="39">
        <v>1197.42</v>
      </c>
      <c r="E153" s="39"/>
      <c r="F153" s="39">
        <v>1197.42</v>
      </c>
      <c r="G153" s="39">
        <v>1042.2</v>
      </c>
      <c r="H153" s="39"/>
      <c r="I153" s="39"/>
      <c r="J153" s="39">
        <f>182.12-26.9</f>
        <v>155.22</v>
      </c>
      <c r="K153" s="92"/>
      <c r="L153" s="42" t="s">
        <v>273</v>
      </c>
      <c r="M153" s="44"/>
      <c r="N153" s="209">
        <v>139</v>
      </c>
      <c r="O153" s="44"/>
      <c r="P153" s="84"/>
      <c r="Q153" s="84"/>
      <c r="R153" s="84"/>
      <c r="S153" s="84"/>
      <c r="T153" s="84"/>
      <c r="U153" s="84"/>
      <c r="V153" s="84"/>
      <c r="W153" s="84"/>
      <c r="X153" s="84"/>
      <c r="Y153" s="84"/>
      <c r="Z153" s="84"/>
      <c r="AA153" s="84">
        <v>5</v>
      </c>
      <c r="AB153" s="84">
        <v>3</v>
      </c>
      <c r="AC153" s="84">
        <v>0</v>
      </c>
      <c r="AD153" s="93">
        <v>61.9</v>
      </c>
      <c r="AE153" s="93">
        <v>9.5</v>
      </c>
      <c r="AF153" s="93">
        <v>0</v>
      </c>
      <c r="AG153" s="93">
        <v>0</v>
      </c>
      <c r="AH153" s="93">
        <v>0</v>
      </c>
      <c r="AI153" s="93"/>
      <c r="AJ153" s="84">
        <v>0</v>
      </c>
      <c r="AK153" s="84">
        <v>0</v>
      </c>
      <c r="AL153" s="84">
        <v>0</v>
      </c>
      <c r="AM153" s="84">
        <v>0</v>
      </c>
      <c r="AN153" s="84">
        <v>0</v>
      </c>
      <c r="AO153" s="84">
        <v>0</v>
      </c>
      <c r="AP153" s="84">
        <v>0</v>
      </c>
      <c r="AQ153" s="84">
        <v>15.3</v>
      </c>
      <c r="AR153" s="84">
        <v>20.2</v>
      </c>
      <c r="AS153" s="84">
        <v>0</v>
      </c>
      <c r="AT153" s="84">
        <v>0</v>
      </c>
      <c r="AU153" s="84">
        <v>0</v>
      </c>
      <c r="AV153" s="84">
        <v>0</v>
      </c>
      <c r="AW153" s="84">
        <v>0</v>
      </c>
      <c r="AX153" s="84">
        <v>0</v>
      </c>
      <c r="AY153" s="84">
        <v>0</v>
      </c>
      <c r="AZ153" s="84">
        <v>0</v>
      </c>
      <c r="BA153" s="84">
        <v>0</v>
      </c>
      <c r="BB153" s="93">
        <v>14.28</v>
      </c>
      <c r="BC153" s="93">
        <v>1.3199999999999998</v>
      </c>
      <c r="BD153" s="93">
        <v>0</v>
      </c>
      <c r="BE153" s="93">
        <v>24.72</v>
      </c>
      <c r="BF153" s="84">
        <v>0</v>
      </c>
      <c r="BG153" s="84">
        <v>0</v>
      </c>
      <c r="BH153" s="84"/>
      <c r="BI153" s="84"/>
      <c r="BJ153" s="78"/>
      <c r="BK153" s="84"/>
      <c r="BL153" s="44">
        <v>16</v>
      </c>
      <c r="BM153" s="79">
        <f t="shared" si="19"/>
        <v>0</v>
      </c>
      <c r="BN153" s="75"/>
      <c r="BO153" s="75"/>
    </row>
    <row r="154" spans="1:67" s="62" customFormat="1" ht="31.2" x14ac:dyDescent="0.3">
      <c r="A154" s="220"/>
      <c r="B154" s="126" t="s">
        <v>1087</v>
      </c>
      <c r="C154" s="127" t="s">
        <v>241</v>
      </c>
      <c r="D154" s="127">
        <v>883.1</v>
      </c>
      <c r="E154" s="127"/>
      <c r="F154" s="127">
        <v>883.1</v>
      </c>
      <c r="G154" s="128">
        <v>828.2</v>
      </c>
      <c r="H154" s="128"/>
      <c r="I154" s="128"/>
      <c r="J154" s="128">
        <f>81.8-26.9</f>
        <v>54.9</v>
      </c>
      <c r="K154" s="129" t="s">
        <v>1084</v>
      </c>
      <c r="L154" s="54" t="s">
        <v>233</v>
      </c>
      <c r="M154" s="53">
        <v>27</v>
      </c>
      <c r="N154" s="53"/>
      <c r="O154" s="93"/>
      <c r="P154" s="93"/>
      <c r="Q154" s="93"/>
      <c r="R154" s="93"/>
      <c r="S154" s="93"/>
      <c r="T154" s="93"/>
      <c r="U154" s="93"/>
      <c r="V154" s="93"/>
      <c r="W154" s="93"/>
      <c r="X154" s="93"/>
      <c r="Y154" s="93"/>
      <c r="Z154" s="93"/>
      <c r="AA154" s="93"/>
      <c r="AB154" s="93"/>
      <c r="AC154" s="55"/>
      <c r="AD154" s="93">
        <v>11.899999999999999</v>
      </c>
      <c r="AE154" s="93">
        <v>9</v>
      </c>
      <c r="AF154" s="93"/>
      <c r="AG154" s="93"/>
      <c r="AH154" s="93"/>
      <c r="AI154" s="93"/>
      <c r="AJ154" s="93"/>
      <c r="AK154" s="93"/>
      <c r="AL154" s="93"/>
      <c r="AM154" s="93"/>
      <c r="AN154" s="93"/>
      <c r="AO154" s="93"/>
      <c r="AP154" s="55"/>
      <c r="AQ154" s="93">
        <v>5</v>
      </c>
      <c r="AR154" s="93">
        <v>5</v>
      </c>
      <c r="AS154" s="93"/>
      <c r="AT154" s="93"/>
      <c r="AU154" s="93"/>
      <c r="AV154" s="93"/>
      <c r="AW154" s="93"/>
      <c r="AX154" s="93"/>
      <c r="AY154" s="93"/>
      <c r="AZ154" s="93"/>
      <c r="BA154" s="55"/>
      <c r="BB154" s="93">
        <v>13.5</v>
      </c>
      <c r="BC154" s="93">
        <v>0.5</v>
      </c>
      <c r="BD154" s="93"/>
      <c r="BE154" s="130">
        <v>10</v>
      </c>
      <c r="BF154" s="84"/>
      <c r="BG154" s="84"/>
      <c r="BH154" s="84"/>
      <c r="BI154" s="84"/>
      <c r="BJ154" s="78"/>
      <c r="BK154" s="84"/>
      <c r="BL154" s="44"/>
      <c r="BM154" s="79"/>
      <c r="BN154" s="75"/>
      <c r="BO154" s="75"/>
    </row>
    <row r="155" spans="1:67" s="62" customFormat="1" ht="31.2" x14ac:dyDescent="0.3">
      <c r="A155" s="220"/>
      <c r="B155" s="131" t="s">
        <v>1088</v>
      </c>
      <c r="C155" s="127" t="s">
        <v>241</v>
      </c>
      <c r="D155" s="127">
        <v>64.72</v>
      </c>
      <c r="E155" s="127"/>
      <c r="F155" s="127">
        <v>64.72</v>
      </c>
      <c r="G155" s="128">
        <v>64</v>
      </c>
      <c r="H155" s="128"/>
      <c r="I155" s="128"/>
      <c r="J155" s="128">
        <v>0.72</v>
      </c>
      <c r="K155" s="54" t="s">
        <v>285</v>
      </c>
      <c r="L155" s="54" t="s">
        <v>285</v>
      </c>
      <c r="M155" s="53">
        <v>25</v>
      </c>
      <c r="N155" s="5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55"/>
      <c r="AQ155" s="93">
        <v>0.3</v>
      </c>
      <c r="AR155" s="93">
        <v>0.2</v>
      </c>
      <c r="AS155" s="93"/>
      <c r="AT155" s="93"/>
      <c r="AU155" s="93"/>
      <c r="AV155" s="93"/>
      <c r="AW155" s="93"/>
      <c r="AX155" s="93"/>
      <c r="AY155" s="93"/>
      <c r="AZ155" s="93"/>
      <c r="BA155" s="55"/>
      <c r="BB155" s="93"/>
      <c r="BC155" s="93"/>
      <c r="BD155" s="93"/>
      <c r="BE155" s="93">
        <v>0.22</v>
      </c>
      <c r="BF155" s="84"/>
      <c r="BG155" s="84"/>
      <c r="BH155" s="84"/>
      <c r="BI155" s="84"/>
      <c r="BJ155" s="78"/>
      <c r="BK155" s="84"/>
      <c r="BL155" s="44"/>
      <c r="BM155" s="79"/>
      <c r="BN155" s="75"/>
      <c r="BO155" s="75"/>
    </row>
    <row r="156" spans="1:67" s="62" customFormat="1" ht="46.8" x14ac:dyDescent="0.3">
      <c r="A156" s="221"/>
      <c r="B156" s="132" t="s">
        <v>1089</v>
      </c>
      <c r="C156" s="133" t="s">
        <v>241</v>
      </c>
      <c r="D156" s="127">
        <v>249.6</v>
      </c>
      <c r="E156" s="127"/>
      <c r="F156" s="127">
        <v>249.6</v>
      </c>
      <c r="G156" s="134">
        <v>150</v>
      </c>
      <c r="H156" s="128"/>
      <c r="I156" s="128"/>
      <c r="J156" s="128">
        <v>99.6</v>
      </c>
      <c r="K156" s="54" t="s">
        <v>273</v>
      </c>
      <c r="L156" s="54" t="s">
        <v>261</v>
      </c>
      <c r="M156" s="53">
        <v>23</v>
      </c>
      <c r="N156" s="53"/>
      <c r="O156" s="93"/>
      <c r="P156" s="93"/>
      <c r="Q156" s="93"/>
      <c r="R156" s="93"/>
      <c r="S156" s="93"/>
      <c r="T156" s="93"/>
      <c r="U156" s="93"/>
      <c r="V156" s="93"/>
      <c r="W156" s="93"/>
      <c r="X156" s="93"/>
      <c r="Y156" s="93"/>
      <c r="Z156" s="55"/>
      <c r="AA156" s="93">
        <v>5</v>
      </c>
      <c r="AB156" s="93">
        <v>3</v>
      </c>
      <c r="AC156" s="93"/>
      <c r="AD156" s="93">
        <v>50</v>
      </c>
      <c r="AE156" s="93">
        <v>0.5</v>
      </c>
      <c r="AF156" s="93"/>
      <c r="AG156" s="93"/>
      <c r="AH156" s="93"/>
      <c r="AI156" s="93"/>
      <c r="AJ156" s="93"/>
      <c r="AK156" s="93"/>
      <c r="AL156" s="93"/>
      <c r="AM156" s="93"/>
      <c r="AN156" s="93"/>
      <c r="AO156" s="93"/>
      <c r="AP156" s="55"/>
      <c r="AQ156" s="93">
        <v>10</v>
      </c>
      <c r="AR156" s="93">
        <v>15</v>
      </c>
      <c r="AS156" s="93"/>
      <c r="AT156" s="93"/>
      <c r="AU156" s="93"/>
      <c r="AV156" s="93"/>
      <c r="AW156" s="93"/>
      <c r="AX156" s="93"/>
      <c r="AY156" s="93"/>
      <c r="AZ156" s="93"/>
      <c r="BA156" s="55"/>
      <c r="BB156" s="93">
        <v>0.78</v>
      </c>
      <c r="BC156" s="93">
        <v>0.82</v>
      </c>
      <c r="BD156" s="93"/>
      <c r="BE156" s="93">
        <v>14.5</v>
      </c>
      <c r="BF156" s="84"/>
      <c r="BG156" s="84"/>
      <c r="BH156" s="84"/>
      <c r="BI156" s="84"/>
      <c r="BJ156" s="78"/>
      <c r="BK156" s="84"/>
      <c r="BL156" s="44"/>
      <c r="BM156" s="79"/>
      <c r="BN156" s="75"/>
      <c r="BO156" s="75"/>
    </row>
    <row r="157" spans="1:67" x14ac:dyDescent="0.3">
      <c r="A157" s="76" t="s">
        <v>611</v>
      </c>
      <c r="B157" s="77" t="s">
        <v>612</v>
      </c>
      <c r="C157" s="80" t="s">
        <v>338</v>
      </c>
      <c r="D157" s="81">
        <f>SUM(D158:D160)</f>
        <v>164.52</v>
      </c>
      <c r="E157" s="81">
        <f t="shared" ref="E157:BG157" si="21">SUM(E158:E160)</f>
        <v>11.67</v>
      </c>
      <c r="F157" s="81">
        <f t="shared" si="21"/>
        <v>152.85</v>
      </c>
      <c r="G157" s="81">
        <f t="shared" si="21"/>
        <v>148.51</v>
      </c>
      <c r="H157" s="81">
        <f t="shared" si="21"/>
        <v>0</v>
      </c>
      <c r="I157" s="81">
        <f t="shared" si="21"/>
        <v>0</v>
      </c>
      <c r="J157" s="81">
        <f t="shared" si="21"/>
        <v>4.34</v>
      </c>
      <c r="K157" s="81">
        <f t="shared" si="21"/>
        <v>0</v>
      </c>
      <c r="L157" s="81">
        <f t="shared" si="21"/>
        <v>0</v>
      </c>
      <c r="M157" s="81"/>
      <c r="N157" s="81"/>
      <c r="O157" s="81">
        <f t="shared" si="21"/>
        <v>0</v>
      </c>
      <c r="P157" s="81">
        <f t="shared" si="21"/>
        <v>0</v>
      </c>
      <c r="Q157" s="81">
        <f t="shared" si="21"/>
        <v>0</v>
      </c>
      <c r="R157" s="81">
        <f t="shared" si="21"/>
        <v>0</v>
      </c>
      <c r="S157" s="81">
        <f t="shared" si="21"/>
        <v>0</v>
      </c>
      <c r="T157" s="81">
        <f t="shared" si="21"/>
        <v>0</v>
      </c>
      <c r="U157" s="81">
        <f t="shared" si="21"/>
        <v>0</v>
      </c>
      <c r="V157" s="81">
        <f t="shared" si="21"/>
        <v>0</v>
      </c>
      <c r="W157" s="81">
        <f t="shared" si="21"/>
        <v>0</v>
      </c>
      <c r="X157" s="81">
        <f t="shared" si="21"/>
        <v>0</v>
      </c>
      <c r="Y157" s="81">
        <f t="shared" si="21"/>
        <v>0</v>
      </c>
      <c r="Z157" s="81">
        <f t="shared" si="21"/>
        <v>0.4</v>
      </c>
      <c r="AA157" s="81">
        <f t="shared" si="21"/>
        <v>0</v>
      </c>
      <c r="AB157" s="81">
        <f t="shared" si="21"/>
        <v>1.64</v>
      </c>
      <c r="AC157" s="81">
        <f t="shared" si="21"/>
        <v>0</v>
      </c>
      <c r="AD157" s="81">
        <f t="shared" si="21"/>
        <v>0</v>
      </c>
      <c r="AE157" s="81">
        <f t="shared" si="21"/>
        <v>0</v>
      </c>
      <c r="AF157" s="81">
        <f t="shared" si="21"/>
        <v>0</v>
      </c>
      <c r="AG157" s="81">
        <f t="shared" si="21"/>
        <v>0</v>
      </c>
      <c r="AH157" s="81">
        <f t="shared" si="21"/>
        <v>0</v>
      </c>
      <c r="AI157" s="81">
        <f t="shared" si="21"/>
        <v>0</v>
      </c>
      <c r="AJ157" s="81">
        <f t="shared" si="21"/>
        <v>0</v>
      </c>
      <c r="AK157" s="81">
        <f t="shared" si="21"/>
        <v>0</v>
      </c>
      <c r="AL157" s="81">
        <f t="shared" si="21"/>
        <v>0</v>
      </c>
      <c r="AM157" s="81">
        <f t="shared" si="21"/>
        <v>0</v>
      </c>
      <c r="AN157" s="81">
        <f t="shared" si="21"/>
        <v>0</v>
      </c>
      <c r="AO157" s="81">
        <f t="shared" si="21"/>
        <v>0</v>
      </c>
      <c r="AP157" s="81">
        <f t="shared" si="21"/>
        <v>0</v>
      </c>
      <c r="AQ157" s="81">
        <f t="shared" si="21"/>
        <v>2</v>
      </c>
      <c r="AR157" s="81">
        <f t="shared" si="21"/>
        <v>0</v>
      </c>
      <c r="AS157" s="81">
        <f t="shared" si="21"/>
        <v>0</v>
      </c>
      <c r="AT157" s="81">
        <f t="shared" si="21"/>
        <v>0</v>
      </c>
      <c r="AU157" s="81">
        <f t="shared" si="21"/>
        <v>0</v>
      </c>
      <c r="AV157" s="81">
        <f t="shared" si="21"/>
        <v>0</v>
      </c>
      <c r="AW157" s="81">
        <f t="shared" si="21"/>
        <v>0</v>
      </c>
      <c r="AX157" s="81">
        <f t="shared" si="21"/>
        <v>0</v>
      </c>
      <c r="AY157" s="81">
        <f t="shared" si="21"/>
        <v>0</v>
      </c>
      <c r="AZ157" s="81">
        <f t="shared" si="21"/>
        <v>0</v>
      </c>
      <c r="BA157" s="81">
        <f t="shared" si="21"/>
        <v>0</v>
      </c>
      <c r="BB157" s="81">
        <f t="shared" si="21"/>
        <v>0</v>
      </c>
      <c r="BC157" s="81">
        <f t="shared" si="21"/>
        <v>0</v>
      </c>
      <c r="BD157" s="81">
        <f t="shared" si="21"/>
        <v>0</v>
      </c>
      <c r="BE157" s="81">
        <f t="shared" si="21"/>
        <v>0.3</v>
      </c>
      <c r="BF157" s="81">
        <f t="shared" si="21"/>
        <v>0</v>
      </c>
      <c r="BG157" s="81">
        <f t="shared" si="21"/>
        <v>0</v>
      </c>
      <c r="BH157" s="83">
        <f t="shared" ref="BH157:BK157" si="22">SUM(BH158:BH161)</f>
        <v>0</v>
      </c>
      <c r="BI157" s="83"/>
      <c r="BJ157" s="78">
        <f t="shared" ref="BJ157:BJ193" si="23">D157-E157-F157</f>
        <v>0</v>
      </c>
      <c r="BK157" s="83">
        <f t="shared" si="22"/>
        <v>0</v>
      </c>
      <c r="BL157" s="90">
        <v>17</v>
      </c>
      <c r="BM157" s="79">
        <f t="shared" si="19"/>
        <v>0</v>
      </c>
      <c r="BN157" s="75"/>
      <c r="BO157" s="75"/>
    </row>
    <row r="158" spans="1:67" s="4" customFormat="1" ht="31.2" x14ac:dyDescent="0.3">
      <c r="A158" s="48">
        <v>1</v>
      </c>
      <c r="B158" s="42" t="s">
        <v>548</v>
      </c>
      <c r="C158" s="48" t="s">
        <v>338</v>
      </c>
      <c r="D158" s="39">
        <v>75</v>
      </c>
      <c r="E158" s="39"/>
      <c r="F158" s="39">
        <v>75</v>
      </c>
      <c r="G158" s="39">
        <f>75-J158</f>
        <v>73.36</v>
      </c>
      <c r="H158" s="39"/>
      <c r="I158" s="39"/>
      <c r="J158" s="39">
        <f>SUM(Z158:BG158)</f>
        <v>1.64</v>
      </c>
      <c r="K158" s="42"/>
      <c r="L158" s="42" t="s">
        <v>294</v>
      </c>
      <c r="M158" s="44">
        <v>36</v>
      </c>
      <c r="N158" s="209">
        <v>140</v>
      </c>
      <c r="O158" s="44"/>
      <c r="P158" s="84"/>
      <c r="Q158" s="84"/>
      <c r="R158" s="84"/>
      <c r="S158" s="84"/>
      <c r="T158" s="84"/>
      <c r="U158" s="84"/>
      <c r="V158" s="84"/>
      <c r="W158" s="84"/>
      <c r="X158" s="84"/>
      <c r="Y158" s="84"/>
      <c r="Z158" s="48"/>
      <c r="AA158" s="48"/>
      <c r="AB158" s="48">
        <v>1.64</v>
      </c>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78">
        <f t="shared" si="23"/>
        <v>0</v>
      </c>
      <c r="BK158" s="84"/>
      <c r="BL158" s="44">
        <v>17</v>
      </c>
      <c r="BM158" s="79">
        <f t="shared" si="19"/>
        <v>0</v>
      </c>
      <c r="BN158" s="75"/>
      <c r="BO158" s="75"/>
    </row>
    <row r="159" spans="1:67" s="4" customFormat="1" x14ac:dyDescent="0.3">
      <c r="A159" s="48">
        <v>2</v>
      </c>
      <c r="B159" s="42" t="s">
        <v>687</v>
      </c>
      <c r="C159" s="48" t="s">
        <v>338</v>
      </c>
      <c r="D159" s="39">
        <v>50</v>
      </c>
      <c r="E159" s="39"/>
      <c r="F159" s="39">
        <v>50</v>
      </c>
      <c r="G159" s="39">
        <v>48</v>
      </c>
      <c r="H159" s="39"/>
      <c r="I159" s="39"/>
      <c r="J159" s="39">
        <v>2</v>
      </c>
      <c r="K159" s="92" t="s">
        <v>859</v>
      </c>
      <c r="L159" s="42" t="s">
        <v>688</v>
      </c>
      <c r="M159" s="44">
        <v>71</v>
      </c>
      <c r="N159" s="209">
        <v>141</v>
      </c>
      <c r="O159" s="4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v>2</v>
      </c>
      <c r="AR159" s="84"/>
      <c r="AS159" s="84"/>
      <c r="AT159" s="84"/>
      <c r="AU159" s="84"/>
      <c r="AV159" s="84"/>
      <c r="AW159" s="84"/>
      <c r="AX159" s="84"/>
      <c r="AY159" s="84"/>
      <c r="AZ159" s="84"/>
      <c r="BA159" s="84"/>
      <c r="BB159" s="84"/>
      <c r="BC159" s="84"/>
      <c r="BD159" s="84"/>
      <c r="BE159" s="84"/>
      <c r="BF159" s="84"/>
      <c r="BG159" s="84"/>
      <c r="BH159" s="84"/>
      <c r="BI159" s="84"/>
      <c r="BJ159" s="78">
        <f t="shared" si="23"/>
        <v>0</v>
      </c>
      <c r="BK159" s="84"/>
      <c r="BL159" s="44"/>
      <c r="BM159" s="79">
        <f t="shared" si="19"/>
        <v>0</v>
      </c>
      <c r="BN159" s="75"/>
      <c r="BO159" s="75"/>
    </row>
    <row r="160" spans="1:67" s="4" customFormat="1" x14ac:dyDescent="0.3">
      <c r="A160" s="48">
        <v>3</v>
      </c>
      <c r="B160" s="42" t="s">
        <v>443</v>
      </c>
      <c r="C160" s="48" t="s">
        <v>338</v>
      </c>
      <c r="D160" s="39">
        <v>39.520000000000003</v>
      </c>
      <c r="E160" s="39">
        <v>11.67</v>
      </c>
      <c r="F160" s="39">
        <f>D160-11.67</f>
        <v>27.85</v>
      </c>
      <c r="G160" s="39">
        <f>17.15-0.7+10.7</f>
        <v>27.15</v>
      </c>
      <c r="H160" s="39"/>
      <c r="I160" s="39"/>
      <c r="J160" s="39">
        <f>SUM(P160:BG160)</f>
        <v>0.7</v>
      </c>
      <c r="K160" s="92"/>
      <c r="L160" s="42" t="s">
        <v>415</v>
      </c>
      <c r="M160" s="44">
        <v>45</v>
      </c>
      <c r="N160" s="209">
        <v>142</v>
      </c>
      <c r="O160" s="44"/>
      <c r="P160" s="84"/>
      <c r="Q160" s="84"/>
      <c r="R160" s="84"/>
      <c r="S160" s="84"/>
      <c r="T160" s="84"/>
      <c r="U160" s="84"/>
      <c r="V160" s="84"/>
      <c r="W160" s="84"/>
      <c r="X160" s="84"/>
      <c r="Y160" s="84"/>
      <c r="Z160" s="84">
        <v>0.4</v>
      </c>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f>0.3</f>
        <v>0.3</v>
      </c>
      <c r="BF160" s="84"/>
      <c r="BG160" s="84"/>
      <c r="BH160" s="84"/>
      <c r="BI160" s="84"/>
      <c r="BJ160" s="78">
        <f t="shared" si="23"/>
        <v>0</v>
      </c>
      <c r="BK160" s="84"/>
      <c r="BL160" s="44">
        <v>17</v>
      </c>
      <c r="BM160" s="79">
        <f t="shared" si="19"/>
        <v>0</v>
      </c>
      <c r="BN160" s="75"/>
      <c r="BO160" s="75"/>
    </row>
    <row r="161" spans="1:67" x14ac:dyDescent="0.3">
      <c r="A161" s="76" t="s">
        <v>613</v>
      </c>
      <c r="B161" s="77" t="s">
        <v>410</v>
      </c>
      <c r="C161" s="80" t="s">
        <v>56</v>
      </c>
      <c r="D161" s="81">
        <f t="shared" ref="D161:BK161" si="24">SUM(D162:D173,D176,D179,D182:D224)</f>
        <v>1403.7900000000002</v>
      </c>
      <c r="E161" s="81">
        <f t="shared" si="24"/>
        <v>12.32</v>
      </c>
      <c r="F161" s="81">
        <f t="shared" si="24"/>
        <v>1391.4700000000005</v>
      </c>
      <c r="G161" s="81">
        <f t="shared" si="24"/>
        <v>352.81</v>
      </c>
      <c r="H161" s="81">
        <f t="shared" si="24"/>
        <v>15.7</v>
      </c>
      <c r="I161" s="81">
        <f t="shared" si="24"/>
        <v>0</v>
      </c>
      <c r="J161" s="81">
        <f t="shared" si="24"/>
        <v>1022.9600000000004</v>
      </c>
      <c r="K161" s="81">
        <f t="shared" si="24"/>
        <v>0</v>
      </c>
      <c r="L161" s="81">
        <f t="shared" si="24"/>
        <v>0</v>
      </c>
      <c r="M161" s="81">
        <f t="shared" si="24"/>
        <v>1297</v>
      </c>
      <c r="N161" s="81"/>
      <c r="O161" s="81">
        <f t="shared" si="24"/>
        <v>0</v>
      </c>
      <c r="P161" s="81">
        <f t="shared" si="24"/>
        <v>0</v>
      </c>
      <c r="Q161" s="81">
        <f t="shared" si="24"/>
        <v>9.69</v>
      </c>
      <c r="R161" s="81">
        <f t="shared" si="24"/>
        <v>6.01</v>
      </c>
      <c r="S161" s="81">
        <f t="shared" si="24"/>
        <v>0</v>
      </c>
      <c r="T161" s="81">
        <f t="shared" si="24"/>
        <v>0</v>
      </c>
      <c r="U161" s="81">
        <f t="shared" si="24"/>
        <v>0</v>
      </c>
      <c r="V161" s="81">
        <f t="shared" si="24"/>
        <v>0</v>
      </c>
      <c r="W161" s="81">
        <f t="shared" si="24"/>
        <v>39.44</v>
      </c>
      <c r="X161" s="81">
        <f t="shared" si="24"/>
        <v>271.18</v>
      </c>
      <c r="Y161" s="81">
        <f t="shared" si="24"/>
        <v>5</v>
      </c>
      <c r="Z161" s="81">
        <f t="shared" si="24"/>
        <v>159.71000000000004</v>
      </c>
      <c r="AA161" s="81">
        <f t="shared" si="24"/>
        <v>31.03</v>
      </c>
      <c r="AB161" s="81">
        <f t="shared" si="24"/>
        <v>53.379999999999988</v>
      </c>
      <c r="AC161" s="81">
        <f t="shared" si="24"/>
        <v>2.5</v>
      </c>
      <c r="AD161" s="81">
        <f t="shared" si="24"/>
        <v>14.12</v>
      </c>
      <c r="AE161" s="81">
        <f t="shared" si="24"/>
        <v>100.55</v>
      </c>
      <c r="AF161" s="81">
        <f t="shared" si="24"/>
        <v>2.5</v>
      </c>
      <c r="AG161" s="81">
        <f t="shared" si="24"/>
        <v>0.13</v>
      </c>
      <c r="AH161" s="81">
        <f t="shared" si="24"/>
        <v>0</v>
      </c>
      <c r="AI161" s="81">
        <f t="shared" si="24"/>
        <v>0</v>
      </c>
      <c r="AJ161" s="81">
        <f t="shared" si="24"/>
        <v>0</v>
      </c>
      <c r="AK161" s="81">
        <f t="shared" si="24"/>
        <v>0</v>
      </c>
      <c r="AL161" s="81">
        <f t="shared" si="24"/>
        <v>0</v>
      </c>
      <c r="AM161" s="81">
        <f t="shared" si="24"/>
        <v>0.35</v>
      </c>
      <c r="AN161" s="81">
        <f t="shared" si="24"/>
        <v>0</v>
      </c>
      <c r="AO161" s="81">
        <f t="shared" si="24"/>
        <v>2.9699999999999998</v>
      </c>
      <c r="AP161" s="81">
        <f t="shared" si="24"/>
        <v>0</v>
      </c>
      <c r="AQ161" s="81">
        <f t="shared" si="24"/>
        <v>45.079999999999991</v>
      </c>
      <c r="AR161" s="81">
        <f t="shared" si="24"/>
        <v>4.91</v>
      </c>
      <c r="AS161" s="81">
        <f t="shared" si="24"/>
        <v>0</v>
      </c>
      <c r="AT161" s="81">
        <f t="shared" si="24"/>
        <v>0.13</v>
      </c>
      <c r="AU161" s="81">
        <f t="shared" si="24"/>
        <v>0</v>
      </c>
      <c r="AV161" s="81">
        <f t="shared" si="24"/>
        <v>0</v>
      </c>
      <c r="AW161" s="81">
        <f t="shared" si="24"/>
        <v>0.91000000000000014</v>
      </c>
      <c r="AX161" s="81">
        <f t="shared" si="24"/>
        <v>0</v>
      </c>
      <c r="AY161" s="81">
        <f t="shared" si="24"/>
        <v>0</v>
      </c>
      <c r="AZ161" s="81">
        <f t="shared" si="24"/>
        <v>1.07</v>
      </c>
      <c r="BA161" s="81">
        <f t="shared" si="24"/>
        <v>0.66999999999999993</v>
      </c>
      <c r="BB161" s="81">
        <f t="shared" si="24"/>
        <v>15.509999999999998</v>
      </c>
      <c r="BC161" s="81">
        <f t="shared" si="24"/>
        <v>29.33</v>
      </c>
      <c r="BD161" s="81">
        <f t="shared" si="24"/>
        <v>6.26</v>
      </c>
      <c r="BE161" s="81">
        <f t="shared" si="24"/>
        <v>234.27999999999994</v>
      </c>
      <c r="BF161" s="81">
        <f t="shared" si="24"/>
        <v>0</v>
      </c>
      <c r="BG161" s="81">
        <f t="shared" si="24"/>
        <v>0.3</v>
      </c>
      <c r="BH161" s="81">
        <f t="shared" si="24"/>
        <v>0</v>
      </c>
      <c r="BI161" s="81">
        <f t="shared" si="24"/>
        <v>1.65</v>
      </c>
      <c r="BJ161" s="81">
        <f t="shared" si="24"/>
        <v>0</v>
      </c>
      <c r="BK161" s="81">
        <f t="shared" si="24"/>
        <v>0</v>
      </c>
      <c r="BL161" s="44">
        <v>18</v>
      </c>
      <c r="BM161" s="79">
        <f>J161-SUM(V161:BI161)</f>
        <v>0</v>
      </c>
      <c r="BN161" s="75"/>
      <c r="BO161" s="75"/>
    </row>
    <row r="162" spans="1:67" s="4" customFormat="1" ht="33.75" customHeight="1" x14ac:dyDescent="0.3">
      <c r="A162" s="48">
        <v>1</v>
      </c>
      <c r="B162" s="42" t="s">
        <v>1096</v>
      </c>
      <c r="C162" s="43" t="s">
        <v>56</v>
      </c>
      <c r="D162" s="41">
        <v>3.7</v>
      </c>
      <c r="E162" s="40"/>
      <c r="F162" s="40">
        <v>3.7</v>
      </c>
      <c r="G162" s="39">
        <v>3.7</v>
      </c>
      <c r="H162" s="39"/>
      <c r="I162" s="39"/>
      <c r="J162" s="41">
        <f>SUM(V162:BG162)</f>
        <v>0</v>
      </c>
      <c r="K162" s="92" t="s">
        <v>656</v>
      </c>
      <c r="L162" s="42" t="s">
        <v>58</v>
      </c>
      <c r="M162" s="43">
        <v>30</v>
      </c>
      <c r="N162" s="210">
        <v>143</v>
      </c>
      <c r="O162" s="43"/>
      <c r="P162" s="84"/>
      <c r="Q162" s="84"/>
      <c r="R162" s="44"/>
      <c r="S162" s="84"/>
      <c r="T162" s="84"/>
      <c r="U162" s="44"/>
      <c r="V162" s="44"/>
      <c r="W162" s="105"/>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78">
        <f t="shared" ref="BJ162:BJ173" si="25">D162-E162-F162</f>
        <v>0</v>
      </c>
      <c r="BK162" s="84"/>
      <c r="BL162" s="44">
        <v>18</v>
      </c>
      <c r="BM162" s="79">
        <f t="shared" si="19"/>
        <v>0</v>
      </c>
      <c r="BN162" s="75"/>
      <c r="BO162" s="75"/>
    </row>
    <row r="163" spans="1:67" s="4" customFormat="1" ht="31.2" x14ac:dyDescent="0.3">
      <c r="A163" s="48">
        <v>2</v>
      </c>
      <c r="B163" s="42" t="s">
        <v>531</v>
      </c>
      <c r="C163" s="43" t="s">
        <v>56</v>
      </c>
      <c r="D163" s="41">
        <v>4.2</v>
      </c>
      <c r="E163" s="41"/>
      <c r="F163" s="41">
        <v>4.2</v>
      </c>
      <c r="G163" s="41"/>
      <c r="H163" s="41"/>
      <c r="I163" s="41"/>
      <c r="J163" s="39">
        <v>4.2</v>
      </c>
      <c r="K163" s="117" t="s">
        <v>67</v>
      </c>
      <c r="L163" s="117" t="s">
        <v>67</v>
      </c>
      <c r="M163" s="43">
        <v>12</v>
      </c>
      <c r="N163" s="210">
        <v>144</v>
      </c>
      <c r="O163" s="43"/>
      <c r="P163" s="99"/>
      <c r="Q163" s="115"/>
      <c r="R163" s="115"/>
      <c r="S163" s="115"/>
      <c r="T163" s="115"/>
      <c r="U163" s="115"/>
      <c r="V163" s="115"/>
      <c r="W163" s="115"/>
      <c r="X163" s="115"/>
      <c r="Y163" s="115"/>
      <c r="Z163" s="115"/>
      <c r="AA163" s="115"/>
      <c r="AB163" s="115">
        <v>3</v>
      </c>
      <c r="AC163" s="115"/>
      <c r="AD163" s="115"/>
      <c r="AE163" s="115"/>
      <c r="AF163" s="115"/>
      <c r="AG163" s="115"/>
      <c r="AH163" s="115"/>
      <c r="AI163" s="115"/>
      <c r="AJ163" s="115"/>
      <c r="AK163" s="115"/>
      <c r="AL163" s="115"/>
      <c r="AM163" s="115"/>
      <c r="AN163" s="115"/>
      <c r="AO163" s="115"/>
      <c r="AP163" s="115"/>
      <c r="AQ163" s="115">
        <v>1</v>
      </c>
      <c r="AR163" s="115"/>
      <c r="AS163" s="115"/>
      <c r="AT163" s="115"/>
      <c r="AU163" s="115"/>
      <c r="AV163" s="115"/>
      <c r="AW163" s="115"/>
      <c r="AX163" s="115"/>
      <c r="AY163" s="115"/>
      <c r="AZ163" s="115"/>
      <c r="BA163" s="115"/>
      <c r="BB163" s="115"/>
      <c r="BC163" s="115"/>
      <c r="BD163" s="115"/>
      <c r="BE163" s="115">
        <v>0.2</v>
      </c>
      <c r="BF163" s="115"/>
      <c r="BG163" s="115"/>
      <c r="BH163" s="115"/>
      <c r="BI163" s="115"/>
      <c r="BJ163" s="78">
        <f t="shared" si="25"/>
        <v>0</v>
      </c>
      <c r="BK163" s="115"/>
      <c r="BL163" s="44">
        <v>18</v>
      </c>
      <c r="BM163" s="79">
        <f t="shared" si="19"/>
        <v>0</v>
      </c>
      <c r="BN163" s="75"/>
      <c r="BO163" s="75"/>
    </row>
    <row r="164" spans="1:67" s="4" customFormat="1" x14ac:dyDescent="0.3">
      <c r="A164" s="48">
        <v>3</v>
      </c>
      <c r="B164" s="42" t="s">
        <v>339</v>
      </c>
      <c r="C164" s="43" t="s">
        <v>56</v>
      </c>
      <c r="D164" s="41">
        <v>15.7</v>
      </c>
      <c r="E164" s="41">
        <v>8.3000000000000007</v>
      </c>
      <c r="F164" s="41">
        <v>7.4</v>
      </c>
      <c r="G164" s="41">
        <v>6.4</v>
      </c>
      <c r="H164" s="41"/>
      <c r="I164" s="41"/>
      <c r="J164" s="39">
        <v>1</v>
      </c>
      <c r="K164" s="117" t="s">
        <v>67</v>
      </c>
      <c r="L164" s="117" t="s">
        <v>67</v>
      </c>
      <c r="M164" s="43">
        <v>1</v>
      </c>
      <c r="N164" s="210">
        <v>145</v>
      </c>
      <c r="O164" s="43"/>
      <c r="P164" s="43"/>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v>0.5</v>
      </c>
      <c r="AR164" s="115">
        <v>0.3</v>
      </c>
      <c r="AS164" s="115"/>
      <c r="AT164" s="115"/>
      <c r="AU164" s="115"/>
      <c r="AV164" s="115"/>
      <c r="AW164" s="115"/>
      <c r="AX164" s="115"/>
      <c r="AY164" s="115"/>
      <c r="AZ164" s="115"/>
      <c r="BA164" s="115"/>
      <c r="BB164" s="115"/>
      <c r="BC164" s="115"/>
      <c r="BD164" s="115"/>
      <c r="BE164" s="115">
        <v>0.2</v>
      </c>
      <c r="BF164" s="115"/>
      <c r="BG164" s="115"/>
      <c r="BH164" s="115"/>
      <c r="BI164" s="115"/>
      <c r="BJ164" s="78">
        <f t="shared" si="25"/>
        <v>0</v>
      </c>
      <c r="BK164" s="115"/>
      <c r="BL164" s="44">
        <v>18</v>
      </c>
      <c r="BM164" s="79">
        <f t="shared" si="19"/>
        <v>0</v>
      </c>
      <c r="BN164" s="75"/>
      <c r="BO164" s="75"/>
    </row>
    <row r="165" spans="1:67" s="4" customFormat="1" ht="31.2" x14ac:dyDescent="0.3">
      <c r="A165" s="48">
        <v>4</v>
      </c>
      <c r="B165" s="42" t="s">
        <v>532</v>
      </c>
      <c r="C165" s="43" t="s">
        <v>56</v>
      </c>
      <c r="D165" s="41">
        <v>2.7</v>
      </c>
      <c r="E165" s="41"/>
      <c r="F165" s="41">
        <v>2.7</v>
      </c>
      <c r="G165" s="41">
        <v>2</v>
      </c>
      <c r="H165" s="41">
        <v>0</v>
      </c>
      <c r="I165" s="39"/>
      <c r="J165" s="41">
        <v>0.7</v>
      </c>
      <c r="K165" s="42" t="s">
        <v>916</v>
      </c>
      <c r="L165" s="117" t="s">
        <v>67</v>
      </c>
      <c r="M165" s="43">
        <v>15</v>
      </c>
      <c r="N165" s="210">
        <v>146</v>
      </c>
      <c r="O165" s="43"/>
      <c r="P165" s="48"/>
      <c r="Q165" s="115"/>
      <c r="R165" s="115"/>
      <c r="S165" s="115"/>
      <c r="T165" s="115"/>
      <c r="U165" s="115"/>
      <c r="V165" s="115"/>
      <c r="W165" s="115"/>
      <c r="X165" s="115"/>
      <c r="Y165" s="115"/>
      <c r="Z165" s="115">
        <v>0.2</v>
      </c>
      <c r="AA165" s="115"/>
      <c r="AB165" s="115">
        <v>0.4</v>
      </c>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v>0.1</v>
      </c>
      <c r="BF165" s="115"/>
      <c r="BG165" s="115"/>
      <c r="BH165" s="115"/>
      <c r="BI165" s="115"/>
      <c r="BJ165" s="78">
        <f t="shared" si="25"/>
        <v>0</v>
      </c>
      <c r="BK165" s="115"/>
      <c r="BL165" s="44">
        <v>18</v>
      </c>
      <c r="BM165" s="79">
        <f t="shared" si="19"/>
        <v>0</v>
      </c>
      <c r="BN165" s="75"/>
      <c r="BO165" s="75"/>
    </row>
    <row r="166" spans="1:67" s="4" customFormat="1" ht="31.2" x14ac:dyDescent="0.3">
      <c r="A166" s="48">
        <v>5</v>
      </c>
      <c r="B166" s="102" t="s">
        <v>75</v>
      </c>
      <c r="C166" s="95" t="s">
        <v>56</v>
      </c>
      <c r="D166" s="40">
        <v>3</v>
      </c>
      <c r="E166" s="40"/>
      <c r="F166" s="40">
        <v>3</v>
      </c>
      <c r="G166" s="40">
        <v>1.5</v>
      </c>
      <c r="H166" s="40"/>
      <c r="I166" s="39"/>
      <c r="J166" s="40">
        <v>1.5</v>
      </c>
      <c r="K166" s="102" t="s">
        <v>917</v>
      </c>
      <c r="L166" s="117" t="s">
        <v>67</v>
      </c>
      <c r="M166" s="96">
        <v>29</v>
      </c>
      <c r="N166" s="213">
        <v>147</v>
      </c>
      <c r="O166" s="96"/>
      <c r="P166" s="103"/>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v>0.2</v>
      </c>
      <c r="AR166" s="115"/>
      <c r="AS166" s="115"/>
      <c r="AT166" s="115"/>
      <c r="AU166" s="115"/>
      <c r="AV166" s="115"/>
      <c r="AW166" s="115"/>
      <c r="AX166" s="115"/>
      <c r="AY166" s="115"/>
      <c r="AZ166" s="115"/>
      <c r="BA166" s="115"/>
      <c r="BB166" s="115"/>
      <c r="BC166" s="115"/>
      <c r="BD166" s="115"/>
      <c r="BE166" s="115">
        <v>1.3</v>
      </c>
      <c r="BF166" s="115"/>
      <c r="BG166" s="115"/>
      <c r="BH166" s="115"/>
      <c r="BI166" s="115"/>
      <c r="BJ166" s="78">
        <f t="shared" si="25"/>
        <v>0</v>
      </c>
      <c r="BK166" s="115"/>
      <c r="BL166" s="44">
        <v>18</v>
      </c>
      <c r="BM166" s="79">
        <f t="shared" si="19"/>
        <v>0</v>
      </c>
      <c r="BN166" s="75"/>
      <c r="BO166" s="75"/>
    </row>
    <row r="167" spans="1:67" s="4" customFormat="1" x14ac:dyDescent="0.3">
      <c r="A167" s="48">
        <v>6</v>
      </c>
      <c r="B167" s="42" t="s">
        <v>339</v>
      </c>
      <c r="C167" s="43" t="s">
        <v>56</v>
      </c>
      <c r="D167" s="41">
        <v>13</v>
      </c>
      <c r="E167" s="41"/>
      <c r="F167" s="41">
        <v>13</v>
      </c>
      <c r="G167" s="41">
        <v>13</v>
      </c>
      <c r="H167" s="41"/>
      <c r="I167" s="39"/>
      <c r="J167" s="41"/>
      <c r="K167" s="42" t="s">
        <v>912</v>
      </c>
      <c r="L167" s="117" t="s">
        <v>67</v>
      </c>
      <c r="M167" s="110">
        <v>32</v>
      </c>
      <c r="N167" s="211">
        <v>148</v>
      </c>
      <c r="O167" s="110"/>
      <c r="P167" s="48"/>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78">
        <f t="shared" si="25"/>
        <v>0</v>
      </c>
      <c r="BK167" s="115"/>
      <c r="BL167" s="44">
        <v>18</v>
      </c>
      <c r="BM167" s="79">
        <f t="shared" si="19"/>
        <v>0</v>
      </c>
      <c r="BN167" s="75"/>
      <c r="BO167" s="75"/>
    </row>
    <row r="168" spans="1:67" s="4" customFormat="1" x14ac:dyDescent="0.3">
      <c r="A168" s="48">
        <v>7</v>
      </c>
      <c r="B168" s="42" t="s">
        <v>359</v>
      </c>
      <c r="C168" s="43" t="s">
        <v>56</v>
      </c>
      <c r="D168" s="39">
        <v>14.9</v>
      </c>
      <c r="E168" s="39">
        <v>0.79</v>
      </c>
      <c r="F168" s="39">
        <f>D168-E168</f>
        <v>14.11</v>
      </c>
      <c r="G168" s="39">
        <f>F168-J168</f>
        <v>7.6099999999999994</v>
      </c>
      <c r="H168" s="39"/>
      <c r="I168" s="39"/>
      <c r="J168" s="39">
        <v>6.5</v>
      </c>
      <c r="K168" s="117" t="s">
        <v>67</v>
      </c>
      <c r="L168" s="117" t="s">
        <v>67</v>
      </c>
      <c r="M168" s="43">
        <v>51</v>
      </c>
      <c r="N168" s="210">
        <v>149</v>
      </c>
      <c r="O168" s="43"/>
      <c r="P168" s="48"/>
      <c r="Q168" s="48"/>
      <c r="R168" s="48"/>
      <c r="S168" s="48"/>
      <c r="T168" s="48"/>
      <c r="U168" s="48"/>
      <c r="V168" s="48"/>
      <c r="W168" s="48"/>
      <c r="X168" s="48"/>
      <c r="Y168" s="48"/>
      <c r="Z168" s="48">
        <v>0.5</v>
      </c>
      <c r="AA168" s="48">
        <v>2.5</v>
      </c>
      <c r="AB168" s="48"/>
      <c r="AC168" s="48"/>
      <c r="AD168" s="48"/>
      <c r="AE168" s="48"/>
      <c r="AF168" s="48">
        <v>2.5</v>
      </c>
      <c r="AG168" s="48"/>
      <c r="AH168" s="48"/>
      <c r="AI168" s="48"/>
      <c r="AJ168" s="48"/>
      <c r="AK168" s="48"/>
      <c r="AL168" s="48"/>
      <c r="AM168" s="48"/>
      <c r="AN168" s="48"/>
      <c r="AO168" s="48"/>
      <c r="AP168" s="48"/>
      <c r="AQ168" s="48">
        <v>0.5</v>
      </c>
      <c r="AR168" s="48"/>
      <c r="AS168" s="48"/>
      <c r="AT168" s="48"/>
      <c r="AU168" s="48"/>
      <c r="AV168" s="48"/>
      <c r="AW168" s="48"/>
      <c r="AX168" s="48"/>
      <c r="AY168" s="48"/>
      <c r="AZ168" s="48"/>
      <c r="BA168" s="48"/>
      <c r="BB168" s="48"/>
      <c r="BC168" s="48"/>
      <c r="BD168" s="48"/>
      <c r="BE168" s="48">
        <v>0.5</v>
      </c>
      <c r="BF168" s="48"/>
      <c r="BG168" s="48"/>
      <c r="BH168" s="48"/>
      <c r="BI168" s="48"/>
      <c r="BJ168" s="78">
        <f t="shared" si="25"/>
        <v>0</v>
      </c>
      <c r="BK168" s="115"/>
      <c r="BL168" s="44">
        <v>18</v>
      </c>
      <c r="BM168" s="79">
        <f t="shared" si="19"/>
        <v>0</v>
      </c>
      <c r="BN168" s="75"/>
      <c r="BO168" s="75"/>
    </row>
    <row r="169" spans="1:67" s="4" customFormat="1" x14ac:dyDescent="0.3">
      <c r="A169" s="48">
        <v>8</v>
      </c>
      <c r="B169" s="92" t="s">
        <v>530</v>
      </c>
      <c r="C169" s="48" t="s">
        <v>56</v>
      </c>
      <c r="D169" s="39">
        <f>17.8+4.1+23.4+2+1.4</f>
        <v>48.699999999999996</v>
      </c>
      <c r="E169" s="39"/>
      <c r="F169" s="39">
        <f>D169</f>
        <v>48.699999999999996</v>
      </c>
      <c r="G169" s="39">
        <v>24.7</v>
      </c>
      <c r="H169" s="41"/>
      <c r="I169" s="39"/>
      <c r="J169" s="107">
        <v>24</v>
      </c>
      <c r="K169" s="42" t="s">
        <v>83</v>
      </c>
      <c r="L169" s="42" t="s">
        <v>81</v>
      </c>
      <c r="M169" s="48">
        <v>29</v>
      </c>
      <c r="N169" s="206">
        <v>151</v>
      </c>
      <c r="O169" s="48"/>
      <c r="P169" s="84"/>
      <c r="Q169" s="84"/>
      <c r="R169" s="84"/>
      <c r="S169" s="84"/>
      <c r="T169" s="84"/>
      <c r="U169" s="84"/>
      <c r="V169" s="84"/>
      <c r="W169" s="84"/>
      <c r="X169" s="84"/>
      <c r="Y169" s="84"/>
      <c r="Z169" s="84"/>
      <c r="AA169" s="84"/>
      <c r="AB169" s="84">
        <v>24</v>
      </c>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78">
        <f t="shared" si="25"/>
        <v>0</v>
      </c>
      <c r="BK169" s="84"/>
      <c r="BL169" s="44">
        <v>18</v>
      </c>
      <c r="BM169" s="79">
        <f t="shared" si="19"/>
        <v>0</v>
      </c>
      <c r="BN169" s="75"/>
      <c r="BO169" s="75"/>
    </row>
    <row r="170" spans="1:67" s="4" customFormat="1" ht="31.2" x14ac:dyDescent="0.3">
      <c r="A170" s="48">
        <v>9</v>
      </c>
      <c r="B170" s="42" t="s">
        <v>530</v>
      </c>
      <c r="C170" s="48" t="s">
        <v>56</v>
      </c>
      <c r="D170" s="39">
        <v>31.32</v>
      </c>
      <c r="E170" s="39"/>
      <c r="F170" s="39">
        <v>31.32</v>
      </c>
      <c r="G170" s="41">
        <v>31.32</v>
      </c>
      <c r="H170" s="41"/>
      <c r="I170" s="39"/>
      <c r="J170" s="41"/>
      <c r="K170" s="42" t="s">
        <v>877</v>
      </c>
      <c r="L170" s="42" t="s">
        <v>91</v>
      </c>
      <c r="M170" s="48">
        <v>5</v>
      </c>
      <c r="N170" s="206">
        <v>152</v>
      </c>
      <c r="O170" s="48"/>
      <c r="P170" s="42"/>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78">
        <f t="shared" si="25"/>
        <v>0</v>
      </c>
      <c r="BK170" s="84"/>
      <c r="BL170" s="44">
        <v>18</v>
      </c>
      <c r="BM170" s="79">
        <f t="shared" si="19"/>
        <v>0</v>
      </c>
      <c r="BN170" s="75"/>
      <c r="BO170" s="75"/>
    </row>
    <row r="171" spans="1:67" s="4" customFormat="1" ht="46.8" x14ac:dyDescent="0.3">
      <c r="A171" s="48">
        <v>10</v>
      </c>
      <c r="B171" s="42" t="s">
        <v>339</v>
      </c>
      <c r="C171" s="43" t="s">
        <v>56</v>
      </c>
      <c r="D171" s="41">
        <v>3.9</v>
      </c>
      <c r="E171" s="41"/>
      <c r="F171" s="41">
        <v>3.9</v>
      </c>
      <c r="G171" s="41">
        <v>3.9</v>
      </c>
      <c r="H171" s="41"/>
      <c r="I171" s="39"/>
      <c r="J171" s="41">
        <v>0</v>
      </c>
      <c r="K171" s="42" t="s">
        <v>981</v>
      </c>
      <c r="L171" s="42" t="s">
        <v>93</v>
      </c>
      <c r="M171" s="43">
        <v>10</v>
      </c>
      <c r="N171" s="210">
        <v>153</v>
      </c>
      <c r="O171" s="43"/>
      <c r="P171" s="43"/>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78">
        <f t="shared" si="25"/>
        <v>0</v>
      </c>
      <c r="BK171" s="84"/>
      <c r="BL171" s="44">
        <v>18</v>
      </c>
      <c r="BM171" s="79">
        <f t="shared" si="19"/>
        <v>0</v>
      </c>
      <c r="BN171" s="75"/>
      <c r="BO171" s="75"/>
    </row>
    <row r="172" spans="1:67" s="4" customFormat="1" ht="31.2" x14ac:dyDescent="0.3">
      <c r="A172" s="48">
        <v>11</v>
      </c>
      <c r="B172" s="42" t="s">
        <v>339</v>
      </c>
      <c r="C172" s="43" t="s">
        <v>56</v>
      </c>
      <c r="D172" s="41">
        <v>4.8</v>
      </c>
      <c r="E172" s="41"/>
      <c r="F172" s="41">
        <v>4.8</v>
      </c>
      <c r="G172" s="41">
        <v>0</v>
      </c>
      <c r="H172" s="41"/>
      <c r="I172" s="39"/>
      <c r="J172" s="41">
        <v>4.8</v>
      </c>
      <c r="K172" s="42" t="s">
        <v>982</v>
      </c>
      <c r="L172" s="42" t="s">
        <v>93</v>
      </c>
      <c r="M172" s="43">
        <v>11</v>
      </c>
      <c r="N172" s="210">
        <v>154</v>
      </c>
      <c r="O172" s="43"/>
      <c r="P172" s="43"/>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v>4.8</v>
      </c>
      <c r="BF172" s="84"/>
      <c r="BG172" s="84"/>
      <c r="BH172" s="84"/>
      <c r="BI172" s="84"/>
      <c r="BJ172" s="78">
        <f t="shared" si="25"/>
        <v>0</v>
      </c>
      <c r="BK172" s="84"/>
      <c r="BL172" s="44">
        <v>18</v>
      </c>
      <c r="BM172" s="79">
        <f t="shared" si="19"/>
        <v>0</v>
      </c>
      <c r="BN172" s="75"/>
      <c r="BO172" s="75"/>
    </row>
    <row r="173" spans="1:67" s="56" customFormat="1" ht="66.75" customHeight="1" x14ac:dyDescent="0.3">
      <c r="A173" s="219">
        <v>12</v>
      </c>
      <c r="B173" s="94" t="s">
        <v>825</v>
      </c>
      <c r="C173" s="95" t="s">
        <v>56</v>
      </c>
      <c r="D173" s="40">
        <v>152.1</v>
      </c>
      <c r="E173" s="40"/>
      <c r="F173" s="40">
        <v>152.1</v>
      </c>
      <c r="G173" s="40">
        <v>0</v>
      </c>
      <c r="H173" s="41">
        <v>4.59</v>
      </c>
      <c r="I173" s="39"/>
      <c r="J173" s="40">
        <f>F173-H173</f>
        <v>147.51</v>
      </c>
      <c r="K173" s="42"/>
      <c r="L173" s="42" t="s">
        <v>97</v>
      </c>
      <c r="M173" s="96">
        <v>19</v>
      </c>
      <c r="N173" s="213">
        <v>155</v>
      </c>
      <c r="O173" s="96" t="s">
        <v>1187</v>
      </c>
      <c r="P173" s="43"/>
      <c r="Q173" s="84">
        <v>3.86</v>
      </c>
      <c r="R173" s="84">
        <v>0.73</v>
      </c>
      <c r="S173" s="84"/>
      <c r="T173" s="84"/>
      <c r="U173" s="84"/>
      <c r="V173" s="84"/>
      <c r="W173" s="84"/>
      <c r="X173" s="84">
        <v>20.56</v>
      </c>
      <c r="Y173" s="84"/>
      <c r="Z173" s="84">
        <v>39.93</v>
      </c>
      <c r="AA173" s="84">
        <v>24.12</v>
      </c>
      <c r="AB173" s="84">
        <v>1.33</v>
      </c>
      <c r="AC173" s="84"/>
      <c r="AD173" s="84"/>
      <c r="AE173" s="84">
        <v>39.81</v>
      </c>
      <c r="AF173" s="84"/>
      <c r="AG173" s="84"/>
      <c r="AH173" s="84"/>
      <c r="AI173" s="84"/>
      <c r="AJ173" s="84"/>
      <c r="AK173" s="84"/>
      <c r="AL173" s="84"/>
      <c r="AM173" s="84"/>
      <c r="AN173" s="84"/>
      <c r="AO173" s="84"/>
      <c r="AP173" s="84"/>
      <c r="AQ173" s="84">
        <v>13.7</v>
      </c>
      <c r="AR173" s="84">
        <v>0.6</v>
      </c>
      <c r="AS173" s="84"/>
      <c r="AT173" s="84">
        <v>0.01</v>
      </c>
      <c r="AU173" s="84"/>
      <c r="AV173" s="84"/>
      <c r="AW173" s="84">
        <v>0.2</v>
      </c>
      <c r="AX173" s="84"/>
      <c r="AY173" s="84"/>
      <c r="AZ173" s="84">
        <v>1.07</v>
      </c>
      <c r="BA173" s="84">
        <v>0.28999999999999998</v>
      </c>
      <c r="BB173" s="84">
        <v>0.03</v>
      </c>
      <c r="BC173" s="84">
        <v>1.68</v>
      </c>
      <c r="BD173" s="84">
        <v>0.26</v>
      </c>
      <c r="BE173" s="84">
        <v>3.92</v>
      </c>
      <c r="BF173" s="84"/>
      <c r="BG173" s="84"/>
      <c r="BH173" s="84"/>
      <c r="BI173" s="84"/>
      <c r="BJ173" s="78">
        <f t="shared" si="25"/>
        <v>0</v>
      </c>
      <c r="BK173" s="84"/>
      <c r="BL173" s="44">
        <v>18</v>
      </c>
      <c r="BM173" s="79">
        <f t="shared" si="19"/>
        <v>0</v>
      </c>
      <c r="BN173" s="75"/>
      <c r="BO173" s="75"/>
    </row>
    <row r="174" spans="1:67" s="62" customFormat="1" ht="39" customHeight="1" x14ac:dyDescent="0.3">
      <c r="A174" s="220"/>
      <c r="B174" s="126" t="s">
        <v>1085</v>
      </c>
      <c r="C174" s="95" t="s">
        <v>56</v>
      </c>
      <c r="D174" s="40">
        <v>88.17</v>
      </c>
      <c r="E174" s="40"/>
      <c r="F174" s="40">
        <v>88.17</v>
      </c>
      <c r="G174" s="40"/>
      <c r="H174" s="41">
        <v>4.59</v>
      </c>
      <c r="I174" s="39"/>
      <c r="J174" s="39">
        <f>SUM(V174:BG174)</f>
        <v>85.62</v>
      </c>
      <c r="K174" s="42"/>
      <c r="L174" s="42" t="s">
        <v>93</v>
      </c>
      <c r="M174" s="96"/>
      <c r="N174" s="96"/>
      <c r="O174" s="96"/>
      <c r="P174" s="43"/>
      <c r="Q174" s="84">
        <v>1.82</v>
      </c>
      <c r="R174" s="84">
        <v>0.73</v>
      </c>
      <c r="S174" s="84"/>
      <c r="T174" s="84"/>
      <c r="U174" s="84"/>
      <c r="V174" s="84"/>
      <c r="W174" s="84"/>
      <c r="X174" s="84">
        <f>X173-X175</f>
        <v>16.63</v>
      </c>
      <c r="Y174" s="84"/>
      <c r="Z174" s="84">
        <v>19.77</v>
      </c>
      <c r="AA174" s="84">
        <f>AA173-AA175</f>
        <v>13.580000000000002</v>
      </c>
      <c r="AB174" s="84"/>
      <c r="AC174" s="84"/>
      <c r="AD174" s="84"/>
      <c r="AE174" s="84">
        <f>AE173-AE175</f>
        <v>23.330000000000002</v>
      </c>
      <c r="AF174" s="84"/>
      <c r="AG174" s="84"/>
      <c r="AH174" s="84"/>
      <c r="AI174" s="84"/>
      <c r="AJ174" s="84"/>
      <c r="AK174" s="84"/>
      <c r="AL174" s="84"/>
      <c r="AM174" s="84"/>
      <c r="AN174" s="84"/>
      <c r="AO174" s="84"/>
      <c r="AP174" s="84"/>
      <c r="AQ174" s="84">
        <f>AQ173-AQ175</f>
        <v>7.4599999999999991</v>
      </c>
      <c r="AR174" s="84">
        <v>0.2</v>
      </c>
      <c r="AS174" s="84"/>
      <c r="AT174" s="84">
        <v>0.01</v>
      </c>
      <c r="AU174" s="84"/>
      <c r="AV174" s="84"/>
      <c r="AW174" s="84">
        <v>0.19</v>
      </c>
      <c r="AX174" s="84"/>
      <c r="AY174" s="84"/>
      <c r="AZ174" s="84"/>
      <c r="BA174" s="84">
        <v>0.27</v>
      </c>
      <c r="BB174" s="84">
        <v>0.03</v>
      </c>
      <c r="BC174" s="84">
        <v>0.68</v>
      </c>
      <c r="BD174" s="84">
        <v>0.26</v>
      </c>
      <c r="BE174" s="84">
        <v>3.21</v>
      </c>
      <c r="BF174" s="84"/>
      <c r="BG174" s="84"/>
      <c r="BH174" s="84"/>
      <c r="BI174" s="84"/>
      <c r="BJ174" s="78"/>
      <c r="BK174" s="84"/>
      <c r="BL174" s="44"/>
      <c r="BM174" s="79"/>
      <c r="BN174" s="75"/>
      <c r="BO174" s="75"/>
    </row>
    <row r="175" spans="1:67" s="62" customFormat="1" ht="39" customHeight="1" x14ac:dyDescent="0.3">
      <c r="A175" s="221"/>
      <c r="B175" s="131" t="s">
        <v>1086</v>
      </c>
      <c r="C175" s="95" t="s">
        <v>56</v>
      </c>
      <c r="D175" s="40">
        <v>63.93</v>
      </c>
      <c r="E175" s="40"/>
      <c r="F175" s="40">
        <v>63.93</v>
      </c>
      <c r="G175" s="40"/>
      <c r="H175" s="41">
        <v>2.04</v>
      </c>
      <c r="I175" s="39"/>
      <c r="J175" s="39">
        <f>SUM(V175:BG175)</f>
        <v>61.89</v>
      </c>
      <c r="K175" s="42"/>
      <c r="L175" s="42" t="s">
        <v>280</v>
      </c>
      <c r="M175" s="96"/>
      <c r="N175" s="96"/>
      <c r="O175" s="96"/>
      <c r="P175" s="43"/>
      <c r="Q175" s="84">
        <v>2.04</v>
      </c>
      <c r="R175" s="84"/>
      <c r="S175" s="84"/>
      <c r="T175" s="84"/>
      <c r="U175" s="84"/>
      <c r="V175" s="84"/>
      <c r="W175" s="84"/>
      <c r="X175" s="84">
        <f>5.97-2.04</f>
        <v>3.9299999999999997</v>
      </c>
      <c r="Y175" s="84"/>
      <c r="Z175" s="84">
        <v>20.16</v>
      </c>
      <c r="AA175" s="84">
        <f>63.93-53.39</f>
        <v>10.54</v>
      </c>
      <c r="AB175" s="84">
        <v>1.33</v>
      </c>
      <c r="AC175" s="84"/>
      <c r="AD175" s="84"/>
      <c r="AE175" s="84">
        <v>16.48</v>
      </c>
      <c r="AF175" s="84"/>
      <c r="AG175" s="84"/>
      <c r="AH175" s="84"/>
      <c r="AI175" s="84"/>
      <c r="AJ175" s="84"/>
      <c r="AK175" s="84"/>
      <c r="AL175" s="84"/>
      <c r="AM175" s="84"/>
      <c r="AN175" s="84"/>
      <c r="AO175" s="84"/>
      <c r="AP175" s="84"/>
      <c r="AQ175" s="84">
        <v>6.24</v>
      </c>
      <c r="AR175" s="84">
        <v>0.4</v>
      </c>
      <c r="AS175" s="84"/>
      <c r="AT175" s="84"/>
      <c r="AU175" s="84"/>
      <c r="AV175" s="84"/>
      <c r="AW175" s="84">
        <v>0.01</v>
      </c>
      <c r="AX175" s="84"/>
      <c r="AY175" s="84"/>
      <c r="AZ175" s="84">
        <v>1.07</v>
      </c>
      <c r="BA175" s="84">
        <v>0.02</v>
      </c>
      <c r="BB175" s="84"/>
      <c r="BC175" s="84"/>
      <c r="BD175" s="84"/>
      <c r="BE175" s="84">
        <v>1.71</v>
      </c>
      <c r="BF175" s="84"/>
      <c r="BG175" s="84"/>
      <c r="BH175" s="84"/>
      <c r="BI175" s="84"/>
      <c r="BJ175" s="78"/>
      <c r="BK175" s="84"/>
      <c r="BL175" s="44"/>
      <c r="BM175" s="79"/>
      <c r="BN175" s="75"/>
      <c r="BO175" s="75"/>
    </row>
    <row r="176" spans="1:67" s="56" customFormat="1" ht="78" x14ac:dyDescent="0.3">
      <c r="A176" s="219">
        <v>13</v>
      </c>
      <c r="B176" s="42" t="s">
        <v>821</v>
      </c>
      <c r="C176" s="43" t="s">
        <v>56</v>
      </c>
      <c r="D176" s="41">
        <v>250</v>
      </c>
      <c r="E176" s="41"/>
      <c r="F176" s="41">
        <v>250</v>
      </c>
      <c r="G176" s="41"/>
      <c r="H176" s="41">
        <v>9</v>
      </c>
      <c r="I176" s="41"/>
      <c r="J176" s="39">
        <v>241</v>
      </c>
      <c r="K176" s="42" t="s">
        <v>822</v>
      </c>
      <c r="L176" s="42" t="s">
        <v>1246</v>
      </c>
      <c r="M176" s="43"/>
      <c r="N176" s="210">
        <v>156</v>
      </c>
      <c r="O176" s="43"/>
      <c r="P176" s="97"/>
      <c r="Q176" s="97">
        <f>Q177+Q178</f>
        <v>3.72</v>
      </c>
      <c r="R176" s="97">
        <f t="shared" ref="R176:BI176" si="26">R177+R178</f>
        <v>5.28</v>
      </c>
      <c r="S176" s="97">
        <f t="shared" si="26"/>
        <v>0</v>
      </c>
      <c r="T176" s="97">
        <f t="shared" si="26"/>
        <v>0</v>
      </c>
      <c r="U176" s="97">
        <f t="shared" si="26"/>
        <v>0</v>
      </c>
      <c r="V176" s="97">
        <f t="shared" si="26"/>
        <v>0</v>
      </c>
      <c r="W176" s="97">
        <f t="shared" si="26"/>
        <v>0</v>
      </c>
      <c r="X176" s="97">
        <f t="shared" si="26"/>
        <v>26.37</v>
      </c>
      <c r="Y176" s="97">
        <f t="shared" si="26"/>
        <v>5</v>
      </c>
      <c r="Z176" s="97">
        <f t="shared" si="26"/>
        <v>52.3</v>
      </c>
      <c r="AA176" s="97">
        <f t="shared" si="26"/>
        <v>2.6</v>
      </c>
      <c r="AB176" s="97">
        <f t="shared" si="26"/>
        <v>3.58</v>
      </c>
      <c r="AC176" s="97">
        <f t="shared" si="26"/>
        <v>0</v>
      </c>
      <c r="AD176" s="97">
        <f t="shared" si="26"/>
        <v>0</v>
      </c>
      <c r="AE176" s="97">
        <f t="shared" si="26"/>
        <v>57.699999999999996</v>
      </c>
      <c r="AF176" s="97">
        <f t="shared" si="26"/>
        <v>0</v>
      </c>
      <c r="AG176" s="97">
        <f t="shared" si="26"/>
        <v>0</v>
      </c>
      <c r="AH176" s="97">
        <f t="shared" si="26"/>
        <v>0</v>
      </c>
      <c r="AI176" s="97">
        <f t="shared" si="26"/>
        <v>0</v>
      </c>
      <c r="AJ176" s="97">
        <f t="shared" si="26"/>
        <v>0</v>
      </c>
      <c r="AK176" s="97">
        <f t="shared" si="26"/>
        <v>0</v>
      </c>
      <c r="AL176" s="97">
        <f t="shared" si="26"/>
        <v>0</v>
      </c>
      <c r="AM176" s="97">
        <f t="shared" si="26"/>
        <v>0</v>
      </c>
      <c r="AN176" s="97">
        <f t="shared" si="26"/>
        <v>0</v>
      </c>
      <c r="AO176" s="97">
        <f t="shared" si="26"/>
        <v>1.8</v>
      </c>
      <c r="AP176" s="97">
        <f t="shared" si="26"/>
        <v>0</v>
      </c>
      <c r="AQ176" s="97">
        <f t="shared" si="26"/>
        <v>15.18</v>
      </c>
      <c r="AR176" s="97">
        <f t="shared" si="26"/>
        <v>1.87</v>
      </c>
      <c r="AS176" s="97">
        <f t="shared" si="26"/>
        <v>0</v>
      </c>
      <c r="AT176" s="97">
        <f t="shared" si="26"/>
        <v>0.12</v>
      </c>
      <c r="AU176" s="97">
        <f t="shared" si="26"/>
        <v>0</v>
      </c>
      <c r="AV176" s="97">
        <f t="shared" si="26"/>
        <v>0</v>
      </c>
      <c r="AW176" s="97">
        <f t="shared" si="26"/>
        <v>0.71000000000000008</v>
      </c>
      <c r="AX176" s="97">
        <f t="shared" si="26"/>
        <v>0</v>
      </c>
      <c r="AY176" s="97">
        <f t="shared" si="26"/>
        <v>0</v>
      </c>
      <c r="AZ176" s="97">
        <f t="shared" si="26"/>
        <v>0</v>
      </c>
      <c r="BA176" s="97">
        <f t="shared" si="26"/>
        <v>0.33999999999999997</v>
      </c>
      <c r="BB176" s="97">
        <f t="shared" si="26"/>
        <v>15.37</v>
      </c>
      <c r="BC176" s="97">
        <f t="shared" si="26"/>
        <v>0.75</v>
      </c>
      <c r="BD176" s="97">
        <f t="shared" si="26"/>
        <v>0.23</v>
      </c>
      <c r="BE176" s="97">
        <f t="shared" si="26"/>
        <v>55.43</v>
      </c>
      <c r="BF176" s="97">
        <f t="shared" si="26"/>
        <v>0</v>
      </c>
      <c r="BG176" s="97">
        <f t="shared" si="26"/>
        <v>0</v>
      </c>
      <c r="BH176" s="97">
        <f t="shared" si="26"/>
        <v>0</v>
      </c>
      <c r="BI176" s="97">
        <f t="shared" si="26"/>
        <v>1.65</v>
      </c>
      <c r="BJ176" s="78">
        <f t="shared" si="23"/>
        <v>0</v>
      </c>
      <c r="BK176" s="97"/>
      <c r="BL176" s="97"/>
      <c r="BM176" s="79">
        <f>J176-SUM(V176:BI176)</f>
        <v>0</v>
      </c>
      <c r="BN176" s="75" t="s">
        <v>823</v>
      </c>
      <c r="BO176" s="75"/>
    </row>
    <row r="177" spans="1:67" s="72" customFormat="1" ht="93.6" x14ac:dyDescent="0.3">
      <c r="A177" s="220"/>
      <c r="B177" s="42" t="s">
        <v>1090</v>
      </c>
      <c r="C177" s="43" t="s">
        <v>56</v>
      </c>
      <c r="D177" s="41">
        <v>113.73</v>
      </c>
      <c r="E177" s="41"/>
      <c r="F177" s="41">
        <v>113.73</v>
      </c>
      <c r="G177" s="41"/>
      <c r="H177" s="41">
        <v>1.28</v>
      </c>
      <c r="I177" s="41"/>
      <c r="J177" s="39">
        <f>SUM(V177:BI177)</f>
        <v>112.45</v>
      </c>
      <c r="K177" s="42"/>
      <c r="L177" s="42" t="s">
        <v>93</v>
      </c>
      <c r="M177" s="43"/>
      <c r="N177" s="43"/>
      <c r="O177" s="43"/>
      <c r="P177" s="97"/>
      <c r="Q177" s="97">
        <v>0.83</v>
      </c>
      <c r="R177" s="97">
        <v>0.45</v>
      </c>
      <c r="S177" s="97"/>
      <c r="T177" s="97"/>
      <c r="U177" s="97"/>
      <c r="V177" s="97"/>
      <c r="W177" s="97"/>
      <c r="X177" s="97">
        <v>10.74</v>
      </c>
      <c r="Y177" s="97"/>
      <c r="Z177" s="75">
        <v>19.61</v>
      </c>
      <c r="AA177" s="75">
        <v>2.2400000000000002</v>
      </c>
      <c r="AB177" s="75">
        <v>0.43</v>
      </c>
      <c r="AC177" s="75"/>
      <c r="AD177" s="75"/>
      <c r="AE177" s="75">
        <v>33.659999999999997</v>
      </c>
      <c r="AF177" s="75"/>
      <c r="AG177" s="75"/>
      <c r="AH177" s="75"/>
      <c r="AI177" s="75"/>
      <c r="AJ177" s="75"/>
      <c r="AK177" s="75"/>
      <c r="AL177" s="75"/>
      <c r="AM177" s="75"/>
      <c r="AN177" s="75"/>
      <c r="AO177" s="75">
        <v>1.36</v>
      </c>
      <c r="AP177" s="75"/>
      <c r="AQ177" s="75">
        <v>14.66</v>
      </c>
      <c r="AR177" s="75">
        <v>1.2</v>
      </c>
      <c r="AS177" s="75"/>
      <c r="AT177" s="75"/>
      <c r="AU177" s="75"/>
      <c r="AV177" s="75"/>
      <c r="AW177" s="75">
        <v>0.67</v>
      </c>
      <c r="AX177" s="75"/>
      <c r="AY177" s="75"/>
      <c r="AZ177" s="75"/>
      <c r="BA177" s="75">
        <v>0.19</v>
      </c>
      <c r="BB177" s="75">
        <v>13.02</v>
      </c>
      <c r="BC177" s="75">
        <v>0.75</v>
      </c>
      <c r="BD177" s="75"/>
      <c r="BE177" s="75">
        <v>13.92</v>
      </c>
      <c r="BF177" s="75"/>
      <c r="BG177" s="75"/>
      <c r="BH177" s="75"/>
      <c r="BI177" s="75"/>
      <c r="BJ177" s="78"/>
      <c r="BK177" s="97"/>
      <c r="BL177" s="97"/>
      <c r="BM177" s="79"/>
      <c r="BN177" s="75"/>
      <c r="BO177" s="75"/>
    </row>
    <row r="178" spans="1:67" s="63" customFormat="1" ht="93.6" x14ac:dyDescent="0.3">
      <c r="A178" s="221"/>
      <c r="B178" s="42" t="s">
        <v>1091</v>
      </c>
      <c r="C178" s="43" t="s">
        <v>56</v>
      </c>
      <c r="D178" s="41">
        <v>136.27000000000001</v>
      </c>
      <c r="E178" s="41"/>
      <c r="F178" s="41">
        <v>136.27000000000001</v>
      </c>
      <c r="G178" s="41"/>
      <c r="H178" s="41">
        <v>7.72</v>
      </c>
      <c r="I178" s="41"/>
      <c r="J178" s="39">
        <f>SUM(V178:BI178)</f>
        <v>128.55000000000001</v>
      </c>
      <c r="K178" s="42"/>
      <c r="L178" s="42" t="s">
        <v>347</v>
      </c>
      <c r="M178" s="43"/>
      <c r="N178" s="43"/>
      <c r="O178" s="43"/>
      <c r="P178" s="97"/>
      <c r="Q178" s="97">
        <v>2.89</v>
      </c>
      <c r="R178" s="97">
        <v>4.83</v>
      </c>
      <c r="S178" s="97"/>
      <c r="T178" s="97"/>
      <c r="U178" s="97"/>
      <c r="V178" s="97"/>
      <c r="W178" s="97"/>
      <c r="X178" s="97">
        <v>15.63</v>
      </c>
      <c r="Y178" s="97">
        <v>5</v>
      </c>
      <c r="Z178" s="97">
        <v>32.69</v>
      </c>
      <c r="AA178" s="97">
        <v>0.36</v>
      </c>
      <c r="AB178" s="97">
        <v>3.15</v>
      </c>
      <c r="AC178" s="97"/>
      <c r="AD178" s="97"/>
      <c r="AE178" s="97">
        <v>24.04</v>
      </c>
      <c r="AF178" s="97"/>
      <c r="AG178" s="97"/>
      <c r="AH178" s="97"/>
      <c r="AI178" s="97"/>
      <c r="AJ178" s="97"/>
      <c r="AK178" s="97"/>
      <c r="AL178" s="97"/>
      <c r="AM178" s="97"/>
      <c r="AN178" s="97"/>
      <c r="AO178" s="97">
        <v>0.44</v>
      </c>
      <c r="AP178" s="97"/>
      <c r="AQ178" s="97">
        <v>0.52</v>
      </c>
      <c r="AR178" s="97">
        <v>0.67</v>
      </c>
      <c r="AS178" s="97"/>
      <c r="AT178" s="97">
        <v>0.12</v>
      </c>
      <c r="AU178" s="97"/>
      <c r="AV178" s="97"/>
      <c r="AW178" s="97">
        <v>0.04</v>
      </c>
      <c r="AX178" s="97"/>
      <c r="AY178" s="97"/>
      <c r="AZ178" s="97"/>
      <c r="BA178" s="97">
        <v>0.15</v>
      </c>
      <c r="BB178" s="97">
        <v>2.35</v>
      </c>
      <c r="BC178" s="97"/>
      <c r="BD178" s="97">
        <v>0.23</v>
      </c>
      <c r="BE178" s="100">
        <f>15.7+2.68-1.87+25</f>
        <v>41.51</v>
      </c>
      <c r="BF178" s="97"/>
      <c r="BG178" s="97"/>
      <c r="BH178" s="97"/>
      <c r="BI178" s="97">
        <v>1.65</v>
      </c>
      <c r="BJ178" s="78"/>
      <c r="BK178" s="97"/>
      <c r="BL178" s="97"/>
      <c r="BM178" s="79"/>
      <c r="BN178" s="75"/>
      <c r="BO178" s="75"/>
    </row>
    <row r="179" spans="1:67" s="55" customFormat="1" ht="61.5" customHeight="1" x14ac:dyDescent="0.3">
      <c r="A179" s="219">
        <v>14</v>
      </c>
      <c r="B179" s="42" t="s">
        <v>824</v>
      </c>
      <c r="C179" s="43" t="s">
        <v>56</v>
      </c>
      <c r="D179" s="41">
        <v>273</v>
      </c>
      <c r="E179" s="41"/>
      <c r="F179" s="41">
        <v>273</v>
      </c>
      <c r="G179" s="41"/>
      <c r="H179" s="41"/>
      <c r="I179" s="41"/>
      <c r="J179" s="41">
        <v>273</v>
      </c>
      <c r="K179" s="42" t="s">
        <v>822</v>
      </c>
      <c r="L179" s="42" t="s">
        <v>1247</v>
      </c>
      <c r="M179" s="43"/>
      <c r="N179" s="210">
        <v>157</v>
      </c>
      <c r="O179" s="43"/>
      <c r="P179" s="97"/>
      <c r="Q179" s="97"/>
      <c r="R179" s="97"/>
      <c r="S179" s="97"/>
      <c r="T179" s="97"/>
      <c r="U179" s="97"/>
      <c r="V179" s="97"/>
      <c r="W179" s="97">
        <f>W180+W181</f>
        <v>39.44</v>
      </c>
      <c r="X179" s="97">
        <f t="shared" ref="X179:BH179" si="27">X180+X181</f>
        <v>27.27</v>
      </c>
      <c r="Y179" s="97">
        <f t="shared" si="27"/>
        <v>0</v>
      </c>
      <c r="Z179" s="97">
        <f t="shared" si="27"/>
        <v>31.450000000000003</v>
      </c>
      <c r="AA179" s="97">
        <f t="shared" si="27"/>
        <v>0.21</v>
      </c>
      <c r="AB179" s="97">
        <f t="shared" si="27"/>
        <v>17.09</v>
      </c>
      <c r="AC179" s="97">
        <f t="shared" si="27"/>
        <v>0</v>
      </c>
      <c r="AD179" s="97">
        <f t="shared" si="27"/>
        <v>14.12</v>
      </c>
      <c r="AE179" s="97">
        <f t="shared" si="27"/>
        <v>2.95</v>
      </c>
      <c r="AF179" s="97">
        <f t="shared" si="27"/>
        <v>0</v>
      </c>
      <c r="AG179" s="97">
        <f t="shared" si="27"/>
        <v>0</v>
      </c>
      <c r="AH179" s="97">
        <f t="shared" si="27"/>
        <v>0</v>
      </c>
      <c r="AI179" s="97">
        <f t="shared" si="27"/>
        <v>0</v>
      </c>
      <c r="AJ179" s="97">
        <f t="shared" si="27"/>
        <v>0</v>
      </c>
      <c r="AK179" s="97">
        <f t="shared" si="27"/>
        <v>0</v>
      </c>
      <c r="AL179" s="97">
        <f t="shared" si="27"/>
        <v>0</v>
      </c>
      <c r="AM179" s="97">
        <f t="shared" si="27"/>
        <v>0</v>
      </c>
      <c r="AN179" s="97">
        <f t="shared" si="27"/>
        <v>0</v>
      </c>
      <c r="AO179" s="97">
        <f t="shared" si="27"/>
        <v>0</v>
      </c>
      <c r="AP179" s="97">
        <f t="shared" si="27"/>
        <v>0</v>
      </c>
      <c r="AQ179" s="97">
        <f t="shared" si="27"/>
        <v>10.050000000000001</v>
      </c>
      <c r="AR179" s="97">
        <f t="shared" si="27"/>
        <v>0.02</v>
      </c>
      <c r="AS179" s="97">
        <f t="shared" si="27"/>
        <v>0</v>
      </c>
      <c r="AT179" s="97">
        <f t="shared" si="27"/>
        <v>0</v>
      </c>
      <c r="AU179" s="97">
        <f t="shared" si="27"/>
        <v>0</v>
      </c>
      <c r="AV179" s="97">
        <f t="shared" si="27"/>
        <v>0</v>
      </c>
      <c r="AW179" s="97">
        <f t="shared" si="27"/>
        <v>0</v>
      </c>
      <c r="AX179" s="97">
        <f t="shared" si="27"/>
        <v>0</v>
      </c>
      <c r="AY179" s="97">
        <f t="shared" si="27"/>
        <v>0</v>
      </c>
      <c r="AZ179" s="97">
        <f t="shared" si="27"/>
        <v>0</v>
      </c>
      <c r="BA179" s="97">
        <f t="shared" si="27"/>
        <v>0.04</v>
      </c>
      <c r="BB179" s="97">
        <f t="shared" si="27"/>
        <v>0.11</v>
      </c>
      <c r="BC179" s="97">
        <f t="shared" si="27"/>
        <v>0</v>
      </c>
      <c r="BD179" s="97">
        <f t="shared" si="27"/>
        <v>0</v>
      </c>
      <c r="BE179" s="97">
        <f t="shared" si="27"/>
        <v>130.25</v>
      </c>
      <c r="BF179" s="97">
        <f t="shared" si="27"/>
        <v>0</v>
      </c>
      <c r="BG179" s="97">
        <f t="shared" si="27"/>
        <v>0</v>
      </c>
      <c r="BH179" s="97">
        <f t="shared" si="27"/>
        <v>0</v>
      </c>
      <c r="BI179" s="97"/>
      <c r="BJ179" s="78">
        <f t="shared" si="23"/>
        <v>0</v>
      </c>
      <c r="BK179" s="97"/>
      <c r="BL179" s="97"/>
      <c r="BM179" s="79">
        <f t="shared" si="19"/>
        <v>0</v>
      </c>
      <c r="BN179" s="75" t="s">
        <v>823</v>
      </c>
      <c r="BO179" s="75"/>
    </row>
    <row r="180" spans="1:67" s="67" customFormat="1" ht="61.5" customHeight="1" x14ac:dyDescent="0.3">
      <c r="A180" s="220"/>
      <c r="B180" s="42" t="s">
        <v>1092</v>
      </c>
      <c r="C180" s="43" t="s">
        <v>56</v>
      </c>
      <c r="D180" s="41">
        <v>96.92</v>
      </c>
      <c r="E180" s="41"/>
      <c r="F180" s="41">
        <v>96.5</v>
      </c>
      <c r="G180" s="41"/>
      <c r="H180" s="41"/>
      <c r="I180" s="41"/>
      <c r="J180" s="39">
        <f>SUM(V180:BG180)</f>
        <v>96.5</v>
      </c>
      <c r="K180" s="42"/>
      <c r="L180" s="42" t="s">
        <v>93</v>
      </c>
      <c r="M180" s="43"/>
      <c r="N180" s="43"/>
      <c r="O180" s="43"/>
      <c r="P180" s="97"/>
      <c r="Q180" s="97"/>
      <c r="R180" s="97"/>
      <c r="S180" s="97"/>
      <c r="T180" s="97"/>
      <c r="U180" s="97"/>
      <c r="V180" s="97"/>
      <c r="W180" s="97">
        <v>0.53</v>
      </c>
      <c r="X180" s="97">
        <f>27.3-0.42</f>
        <v>26.88</v>
      </c>
      <c r="Y180" s="97"/>
      <c r="Z180" s="97">
        <v>29.21</v>
      </c>
      <c r="AA180" s="97">
        <v>0.18</v>
      </c>
      <c r="AB180" s="97"/>
      <c r="AC180" s="97"/>
      <c r="AD180" s="97"/>
      <c r="AE180" s="97">
        <v>1.1100000000000001</v>
      </c>
      <c r="AF180" s="97"/>
      <c r="AG180" s="97"/>
      <c r="AH180" s="97"/>
      <c r="AI180" s="97"/>
      <c r="AJ180" s="97"/>
      <c r="AK180" s="97"/>
      <c r="AL180" s="97"/>
      <c r="AM180" s="97"/>
      <c r="AN180" s="97"/>
      <c r="AO180" s="97"/>
      <c r="AP180" s="97"/>
      <c r="AQ180" s="97">
        <v>5.0999999999999996</v>
      </c>
      <c r="AR180" s="97"/>
      <c r="AS180" s="97"/>
      <c r="AT180" s="97"/>
      <c r="AU180" s="97"/>
      <c r="AV180" s="97"/>
      <c r="AW180" s="97"/>
      <c r="AX180" s="97"/>
      <c r="AY180" s="97"/>
      <c r="AZ180" s="97"/>
      <c r="BA180" s="97">
        <v>0.04</v>
      </c>
      <c r="BB180" s="97">
        <v>0.11</v>
      </c>
      <c r="BC180" s="97"/>
      <c r="BD180" s="97"/>
      <c r="BE180" s="100">
        <v>33.340000000000003</v>
      </c>
      <c r="BF180" s="97"/>
      <c r="BG180" s="97"/>
      <c r="BH180" s="97"/>
      <c r="BI180" s="97"/>
      <c r="BJ180" s="78"/>
      <c r="BK180" s="97"/>
      <c r="BL180" s="97"/>
      <c r="BM180" s="79"/>
      <c r="BN180" s="75"/>
      <c r="BO180" s="75"/>
    </row>
    <row r="181" spans="1:67" s="67" customFormat="1" ht="61.5" customHeight="1" x14ac:dyDescent="0.3">
      <c r="A181" s="221"/>
      <c r="B181" s="42" t="s">
        <v>1093</v>
      </c>
      <c r="C181" s="43" t="s">
        <v>56</v>
      </c>
      <c r="D181" s="41"/>
      <c r="E181" s="41"/>
      <c r="F181" s="41">
        <v>176.5</v>
      </c>
      <c r="G181" s="41"/>
      <c r="H181" s="41"/>
      <c r="I181" s="41"/>
      <c r="J181" s="39">
        <f>SUM(V181:BG181)</f>
        <v>176.5</v>
      </c>
      <c r="K181" s="42"/>
      <c r="L181" s="42" t="s">
        <v>280</v>
      </c>
      <c r="M181" s="43"/>
      <c r="N181" s="43"/>
      <c r="O181" s="43"/>
      <c r="P181" s="97"/>
      <c r="Q181" s="97"/>
      <c r="R181" s="97"/>
      <c r="S181" s="97"/>
      <c r="T181" s="97"/>
      <c r="U181" s="97"/>
      <c r="V181" s="97"/>
      <c r="W181" s="97">
        <v>38.909999999999997</v>
      </c>
      <c r="X181" s="97">
        <v>0.39</v>
      </c>
      <c r="Y181" s="97"/>
      <c r="Z181" s="97">
        <v>2.2400000000000002</v>
      </c>
      <c r="AA181" s="97">
        <v>0.03</v>
      </c>
      <c r="AB181" s="97">
        <v>17.09</v>
      </c>
      <c r="AC181" s="97"/>
      <c r="AD181" s="97">
        <v>14.12</v>
      </c>
      <c r="AE181" s="97">
        <v>1.84</v>
      </c>
      <c r="AF181" s="97"/>
      <c r="AG181" s="97"/>
      <c r="AH181" s="97"/>
      <c r="AI181" s="97"/>
      <c r="AJ181" s="97"/>
      <c r="AK181" s="97"/>
      <c r="AL181" s="97"/>
      <c r="AM181" s="97"/>
      <c r="AN181" s="97"/>
      <c r="AO181" s="97"/>
      <c r="AP181" s="97"/>
      <c r="AQ181" s="97">
        <v>4.95</v>
      </c>
      <c r="AR181" s="97">
        <v>0.02</v>
      </c>
      <c r="AS181" s="97"/>
      <c r="AT181" s="97"/>
      <c r="AU181" s="97"/>
      <c r="AV181" s="97"/>
      <c r="AW181" s="97"/>
      <c r="AX181" s="97"/>
      <c r="AY181" s="97"/>
      <c r="AZ181" s="97"/>
      <c r="BA181" s="97"/>
      <c r="BB181" s="97"/>
      <c r="BC181" s="97"/>
      <c r="BD181" s="97"/>
      <c r="BE181" s="100">
        <v>96.91</v>
      </c>
      <c r="BF181" s="97"/>
      <c r="BG181" s="97"/>
      <c r="BH181" s="97"/>
      <c r="BI181" s="97"/>
      <c r="BJ181" s="78"/>
      <c r="BK181" s="97"/>
      <c r="BL181" s="97"/>
      <c r="BM181" s="79"/>
      <c r="BN181" s="75"/>
      <c r="BO181" s="75"/>
    </row>
    <row r="182" spans="1:67" s="4" customFormat="1" ht="30" customHeight="1" x14ac:dyDescent="0.3">
      <c r="A182" s="48">
        <v>15</v>
      </c>
      <c r="B182" s="50" t="s">
        <v>530</v>
      </c>
      <c r="C182" s="39" t="s">
        <v>56</v>
      </c>
      <c r="D182" s="41">
        <v>0.95</v>
      </c>
      <c r="E182" s="41"/>
      <c r="F182" s="41">
        <v>0.95</v>
      </c>
      <c r="G182" s="39"/>
      <c r="H182" s="39"/>
      <c r="I182" s="39"/>
      <c r="J182" s="39">
        <f>SUM(P182:BG182)</f>
        <v>0.95</v>
      </c>
      <c r="K182" s="50" t="s">
        <v>101</v>
      </c>
      <c r="L182" s="50" t="s">
        <v>102</v>
      </c>
      <c r="M182" s="110">
        <v>1</v>
      </c>
      <c r="N182" s="211">
        <v>158</v>
      </c>
      <c r="O182" s="110"/>
      <c r="P182" s="39"/>
      <c r="Q182" s="39"/>
      <c r="R182" s="39"/>
      <c r="S182" s="39"/>
      <c r="T182" s="39"/>
      <c r="U182" s="39"/>
      <c r="V182" s="39"/>
      <c r="W182" s="39"/>
      <c r="X182" s="39"/>
      <c r="Y182" s="39"/>
      <c r="Z182" s="39">
        <v>0.5</v>
      </c>
      <c r="AA182" s="39"/>
      <c r="AB182" s="39">
        <v>0.45</v>
      </c>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78">
        <f t="shared" si="23"/>
        <v>0</v>
      </c>
      <c r="BK182" s="39"/>
      <c r="BL182" s="39"/>
      <c r="BM182" s="79">
        <f t="shared" si="19"/>
        <v>0</v>
      </c>
      <c r="BN182" s="75"/>
      <c r="BO182" s="75"/>
    </row>
    <row r="183" spans="1:67" s="4" customFormat="1" ht="30" customHeight="1" x14ac:dyDescent="0.3">
      <c r="A183" s="48">
        <v>16</v>
      </c>
      <c r="B183" s="50" t="s">
        <v>530</v>
      </c>
      <c r="C183" s="39" t="s">
        <v>56</v>
      </c>
      <c r="D183" s="39">
        <v>4.5</v>
      </c>
      <c r="E183" s="39"/>
      <c r="F183" s="39">
        <v>4.5</v>
      </c>
      <c r="G183" s="39"/>
      <c r="H183" s="39"/>
      <c r="I183" s="39"/>
      <c r="J183" s="39">
        <f>SUM(P183:BG183)</f>
        <v>4.5</v>
      </c>
      <c r="K183" s="50" t="s">
        <v>112</v>
      </c>
      <c r="L183" s="50" t="s">
        <v>102</v>
      </c>
      <c r="M183" s="110">
        <v>25</v>
      </c>
      <c r="N183" s="211">
        <v>159</v>
      </c>
      <c r="O183" s="110"/>
      <c r="P183" s="39"/>
      <c r="Q183" s="39"/>
      <c r="R183" s="39"/>
      <c r="S183" s="39"/>
      <c r="T183" s="39"/>
      <c r="U183" s="39"/>
      <c r="V183" s="39"/>
      <c r="W183" s="39"/>
      <c r="X183" s="39"/>
      <c r="Y183" s="39"/>
      <c r="Z183" s="39"/>
      <c r="AA183" s="39"/>
      <c r="AB183" s="39"/>
      <c r="AC183" s="39">
        <v>2.5</v>
      </c>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v>2</v>
      </c>
      <c r="BF183" s="39"/>
      <c r="BG183" s="39"/>
      <c r="BH183" s="39"/>
      <c r="BI183" s="39"/>
      <c r="BJ183" s="78">
        <f t="shared" si="23"/>
        <v>0</v>
      </c>
      <c r="BK183" s="39"/>
      <c r="BL183" s="39"/>
      <c r="BM183" s="79">
        <f t="shared" si="19"/>
        <v>0</v>
      </c>
      <c r="BN183" s="75"/>
      <c r="BO183" s="75"/>
    </row>
    <row r="184" spans="1:67" s="4" customFormat="1" ht="30" customHeight="1" x14ac:dyDescent="0.3">
      <c r="A184" s="48">
        <v>17</v>
      </c>
      <c r="B184" s="50" t="s">
        <v>530</v>
      </c>
      <c r="C184" s="39" t="s">
        <v>56</v>
      </c>
      <c r="D184" s="39">
        <v>7.2</v>
      </c>
      <c r="E184" s="39"/>
      <c r="F184" s="39">
        <v>7.2</v>
      </c>
      <c r="G184" s="39">
        <v>3</v>
      </c>
      <c r="H184" s="39"/>
      <c r="I184" s="39"/>
      <c r="J184" s="39">
        <f>SUM(P184:BG184)</f>
        <v>4.2</v>
      </c>
      <c r="K184" s="50" t="s">
        <v>104</v>
      </c>
      <c r="L184" s="50" t="s">
        <v>102</v>
      </c>
      <c r="M184" s="99">
        <v>27</v>
      </c>
      <c r="N184" s="207">
        <v>160</v>
      </c>
      <c r="O184" s="99"/>
      <c r="P184" s="39"/>
      <c r="Q184" s="39"/>
      <c r="R184" s="39"/>
      <c r="S184" s="39"/>
      <c r="T184" s="39"/>
      <c r="U184" s="39"/>
      <c r="V184" s="39"/>
      <c r="W184" s="39"/>
      <c r="X184" s="39"/>
      <c r="Y184" s="39"/>
      <c r="Z184" s="39">
        <v>4.2</v>
      </c>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78">
        <f t="shared" si="23"/>
        <v>0</v>
      </c>
      <c r="BK184" s="39"/>
      <c r="BL184" s="39"/>
      <c r="BM184" s="79">
        <f t="shared" si="19"/>
        <v>0</v>
      </c>
      <c r="BN184" s="75"/>
      <c r="BO184" s="75"/>
    </row>
    <row r="185" spans="1:67" s="4" customFormat="1" ht="30" customHeight="1" x14ac:dyDescent="0.3">
      <c r="A185" s="48">
        <v>18</v>
      </c>
      <c r="B185" s="50" t="s">
        <v>530</v>
      </c>
      <c r="C185" s="39" t="s">
        <v>56</v>
      </c>
      <c r="D185" s="39">
        <v>3.8</v>
      </c>
      <c r="E185" s="39"/>
      <c r="F185" s="39">
        <v>3.8</v>
      </c>
      <c r="G185" s="39">
        <v>1.4</v>
      </c>
      <c r="H185" s="39"/>
      <c r="I185" s="39"/>
      <c r="J185" s="39">
        <f>SUM(P185:BG185)</f>
        <v>2.4</v>
      </c>
      <c r="K185" s="50" t="s">
        <v>104</v>
      </c>
      <c r="L185" s="50" t="s">
        <v>102</v>
      </c>
      <c r="M185" s="99">
        <v>28</v>
      </c>
      <c r="N185" s="207">
        <v>161</v>
      </c>
      <c r="O185" s="99"/>
      <c r="P185" s="39"/>
      <c r="Q185" s="39"/>
      <c r="R185" s="39"/>
      <c r="S185" s="39"/>
      <c r="T185" s="39"/>
      <c r="U185" s="39"/>
      <c r="V185" s="39"/>
      <c r="W185" s="39"/>
      <c r="X185" s="39"/>
      <c r="Y185" s="39"/>
      <c r="Z185" s="39">
        <v>1.8</v>
      </c>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v>0.6</v>
      </c>
      <c r="BF185" s="39"/>
      <c r="BG185" s="39"/>
      <c r="BH185" s="39"/>
      <c r="BI185" s="39"/>
      <c r="BJ185" s="78">
        <f t="shared" si="23"/>
        <v>0</v>
      </c>
      <c r="BK185" s="39"/>
      <c r="BL185" s="39"/>
      <c r="BM185" s="79">
        <f t="shared" si="19"/>
        <v>0</v>
      </c>
      <c r="BN185" s="75"/>
      <c r="BO185" s="75"/>
    </row>
    <row r="186" spans="1:67" s="4" customFormat="1" ht="30" customHeight="1" x14ac:dyDescent="0.3">
      <c r="A186" s="48">
        <v>19</v>
      </c>
      <c r="B186" s="50" t="s">
        <v>530</v>
      </c>
      <c r="C186" s="39" t="s">
        <v>56</v>
      </c>
      <c r="D186" s="39">
        <v>10</v>
      </c>
      <c r="E186" s="39"/>
      <c r="F186" s="39">
        <v>10</v>
      </c>
      <c r="G186" s="39"/>
      <c r="H186" s="39"/>
      <c r="I186" s="39"/>
      <c r="J186" s="39">
        <f>SUM(P186:BG186)</f>
        <v>10</v>
      </c>
      <c r="K186" s="50" t="s">
        <v>113</v>
      </c>
      <c r="L186" s="50" t="s">
        <v>102</v>
      </c>
      <c r="M186" s="99">
        <v>70</v>
      </c>
      <c r="N186" s="207">
        <v>162</v>
      </c>
      <c r="O186" s="9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v>10</v>
      </c>
      <c r="BF186" s="39"/>
      <c r="BG186" s="39"/>
      <c r="BH186" s="39"/>
      <c r="BI186" s="39"/>
      <c r="BJ186" s="78">
        <f t="shared" si="23"/>
        <v>0</v>
      </c>
      <c r="BK186" s="39"/>
      <c r="BL186" s="39"/>
      <c r="BM186" s="79">
        <f t="shared" si="19"/>
        <v>0</v>
      </c>
      <c r="BN186" s="75"/>
      <c r="BO186" s="75"/>
    </row>
    <row r="187" spans="1:67" s="4" customFormat="1" x14ac:dyDescent="0.3">
      <c r="A187" s="48">
        <v>20</v>
      </c>
      <c r="B187" s="50" t="s">
        <v>120</v>
      </c>
      <c r="C187" s="39" t="s">
        <v>56</v>
      </c>
      <c r="D187" s="39">
        <v>0.95</v>
      </c>
      <c r="E187" s="39"/>
      <c r="F187" s="39">
        <v>0.95</v>
      </c>
      <c r="G187" s="39"/>
      <c r="H187" s="39"/>
      <c r="I187" s="39"/>
      <c r="J187" s="39">
        <v>0.95</v>
      </c>
      <c r="K187" s="50"/>
      <c r="L187" s="50" t="s">
        <v>102</v>
      </c>
      <c r="M187" s="99">
        <v>100</v>
      </c>
      <c r="N187" s="207">
        <v>163</v>
      </c>
      <c r="O187" s="9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v>0.95</v>
      </c>
      <c r="BF187" s="39"/>
      <c r="BG187" s="39"/>
      <c r="BH187" s="39"/>
      <c r="BI187" s="39"/>
      <c r="BJ187" s="78">
        <f t="shared" si="23"/>
        <v>0</v>
      </c>
      <c r="BK187" s="39"/>
      <c r="BL187" s="99">
        <v>18</v>
      </c>
      <c r="BM187" s="79">
        <f t="shared" si="19"/>
        <v>0</v>
      </c>
      <c r="BN187" s="75"/>
      <c r="BO187" s="75"/>
    </row>
    <row r="188" spans="1:67" s="4" customFormat="1" ht="45" customHeight="1" x14ac:dyDescent="0.3">
      <c r="A188" s="48">
        <v>21</v>
      </c>
      <c r="B188" s="50" t="s">
        <v>152</v>
      </c>
      <c r="C188" s="39" t="s">
        <v>56</v>
      </c>
      <c r="D188" s="39">
        <f>22-6.29</f>
        <v>15.71</v>
      </c>
      <c r="E188" s="39"/>
      <c r="F188" s="39">
        <f>22-6.29</f>
        <v>15.71</v>
      </c>
      <c r="G188" s="39"/>
      <c r="H188" s="39">
        <v>0</v>
      </c>
      <c r="I188" s="39"/>
      <c r="J188" s="39">
        <f>22-6.29</f>
        <v>15.71</v>
      </c>
      <c r="K188" s="50" t="s">
        <v>134</v>
      </c>
      <c r="L188" s="122" t="s">
        <v>125</v>
      </c>
      <c r="M188" s="99">
        <v>27</v>
      </c>
      <c r="N188" s="207">
        <v>164</v>
      </c>
      <c r="O188" s="50" t="s">
        <v>1188</v>
      </c>
      <c r="P188" s="39"/>
      <c r="Q188" s="39"/>
      <c r="R188" s="39"/>
      <c r="S188" s="39"/>
      <c r="T188" s="39"/>
      <c r="U188" s="39"/>
      <c r="V188" s="39"/>
      <c r="W188" s="39"/>
      <c r="X188" s="39">
        <f>15-6.29</f>
        <v>8.7100000000000009</v>
      </c>
      <c r="Y188" s="39"/>
      <c r="Z188" s="39">
        <v>6.4</v>
      </c>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v>0.6</v>
      </c>
      <c r="BF188" s="39"/>
      <c r="BG188" s="39"/>
      <c r="BH188" s="39"/>
      <c r="BI188" s="39"/>
      <c r="BJ188" s="78">
        <f t="shared" si="23"/>
        <v>0</v>
      </c>
      <c r="BK188" s="39"/>
      <c r="BL188" s="44">
        <v>18</v>
      </c>
      <c r="BM188" s="79">
        <f t="shared" si="19"/>
        <v>0</v>
      </c>
      <c r="BN188" s="75"/>
      <c r="BO188" s="75"/>
    </row>
    <row r="189" spans="1:67" s="12" customFormat="1" ht="40.5" customHeight="1" x14ac:dyDescent="0.3">
      <c r="A189" s="48">
        <v>22</v>
      </c>
      <c r="B189" s="50" t="s">
        <v>530</v>
      </c>
      <c r="C189" s="39" t="s">
        <v>56</v>
      </c>
      <c r="D189" s="39">
        <v>0.9</v>
      </c>
      <c r="E189" s="39"/>
      <c r="F189" s="39">
        <v>0.9</v>
      </c>
      <c r="G189" s="39"/>
      <c r="H189" s="39"/>
      <c r="I189" s="39"/>
      <c r="J189" s="39">
        <v>0.9</v>
      </c>
      <c r="K189" s="50" t="s">
        <v>133</v>
      </c>
      <c r="L189" s="122" t="s">
        <v>125</v>
      </c>
      <c r="M189" s="99">
        <v>55</v>
      </c>
      <c r="N189" s="207">
        <v>165</v>
      </c>
      <c r="O189" s="99"/>
      <c r="P189" s="39"/>
      <c r="Q189" s="39"/>
      <c r="R189" s="39"/>
      <c r="S189" s="39"/>
      <c r="T189" s="39"/>
      <c r="U189" s="39"/>
      <c r="V189" s="39"/>
      <c r="W189" s="39"/>
      <c r="X189" s="39">
        <v>0.9</v>
      </c>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78">
        <f t="shared" si="23"/>
        <v>0</v>
      </c>
      <c r="BK189" s="39"/>
      <c r="BL189" s="135"/>
      <c r="BM189" s="79">
        <f t="shared" si="19"/>
        <v>0</v>
      </c>
      <c r="BN189" s="75" t="s">
        <v>805</v>
      </c>
      <c r="BO189" s="88"/>
    </row>
    <row r="190" spans="1:67" s="4" customFormat="1" ht="31.2" x14ac:dyDescent="0.3">
      <c r="A190" s="48">
        <v>23</v>
      </c>
      <c r="B190" s="50" t="s">
        <v>533</v>
      </c>
      <c r="C190" s="39" t="s">
        <v>56</v>
      </c>
      <c r="D190" s="39">
        <v>1.6</v>
      </c>
      <c r="E190" s="39"/>
      <c r="F190" s="39">
        <v>1.6</v>
      </c>
      <c r="G190" s="39">
        <v>1.4</v>
      </c>
      <c r="H190" s="39"/>
      <c r="I190" s="39"/>
      <c r="J190" s="39">
        <v>0.2</v>
      </c>
      <c r="K190" s="50" t="s">
        <v>159</v>
      </c>
      <c r="L190" s="50" t="s">
        <v>154</v>
      </c>
      <c r="M190" s="110">
        <v>25</v>
      </c>
      <c r="N190" s="211">
        <v>166</v>
      </c>
      <c r="O190" s="110"/>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v>0.2</v>
      </c>
      <c r="AS190" s="39"/>
      <c r="AT190" s="39"/>
      <c r="AU190" s="39"/>
      <c r="AV190" s="39"/>
      <c r="AW190" s="39"/>
      <c r="AX190" s="39"/>
      <c r="AY190" s="39"/>
      <c r="AZ190" s="39"/>
      <c r="BA190" s="39"/>
      <c r="BB190" s="39"/>
      <c r="BC190" s="39"/>
      <c r="BD190" s="39"/>
      <c r="BE190" s="39"/>
      <c r="BF190" s="39"/>
      <c r="BG190" s="39"/>
      <c r="BH190" s="39"/>
      <c r="BI190" s="39"/>
      <c r="BJ190" s="78">
        <f t="shared" si="23"/>
        <v>0</v>
      </c>
      <c r="BK190" s="39"/>
      <c r="BL190" s="44">
        <v>18</v>
      </c>
      <c r="BM190" s="79">
        <f t="shared" si="19"/>
        <v>0</v>
      </c>
      <c r="BN190" s="75"/>
      <c r="BO190" s="75"/>
    </row>
    <row r="191" spans="1:67" s="4" customFormat="1" x14ac:dyDescent="0.3">
      <c r="A191" s="48">
        <v>24</v>
      </c>
      <c r="B191" s="50" t="s">
        <v>359</v>
      </c>
      <c r="C191" s="39" t="s">
        <v>56</v>
      </c>
      <c r="D191" s="39">
        <v>2.8</v>
      </c>
      <c r="E191" s="39"/>
      <c r="F191" s="39">
        <v>2.8</v>
      </c>
      <c r="G191" s="39">
        <v>1.4</v>
      </c>
      <c r="H191" s="39"/>
      <c r="I191" s="39"/>
      <c r="J191" s="39">
        <v>1.4</v>
      </c>
      <c r="K191" s="50" t="s">
        <v>163</v>
      </c>
      <c r="L191" s="50" t="s">
        <v>154</v>
      </c>
      <c r="M191" s="99">
        <v>28</v>
      </c>
      <c r="N191" s="207">
        <v>167</v>
      </c>
      <c r="O191" s="9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v>1.4</v>
      </c>
      <c r="BF191" s="39"/>
      <c r="BG191" s="39"/>
      <c r="BH191" s="39"/>
      <c r="BI191" s="39"/>
      <c r="BJ191" s="78">
        <f t="shared" si="23"/>
        <v>0</v>
      </c>
      <c r="BK191" s="39"/>
      <c r="BL191" s="44">
        <v>18</v>
      </c>
      <c r="BM191" s="79">
        <f t="shared" si="19"/>
        <v>0</v>
      </c>
      <c r="BN191" s="75"/>
      <c r="BO191" s="75"/>
    </row>
    <row r="192" spans="1:67" s="4" customFormat="1" x14ac:dyDescent="0.3">
      <c r="A192" s="48">
        <v>25</v>
      </c>
      <c r="B192" s="50" t="s">
        <v>167</v>
      </c>
      <c r="C192" s="39" t="s">
        <v>56</v>
      </c>
      <c r="D192" s="39">
        <v>26.4</v>
      </c>
      <c r="E192" s="39"/>
      <c r="F192" s="39">
        <v>26.4</v>
      </c>
      <c r="G192" s="39"/>
      <c r="H192" s="39"/>
      <c r="I192" s="39"/>
      <c r="J192" s="39">
        <v>26.4</v>
      </c>
      <c r="K192" s="50" t="s">
        <v>163</v>
      </c>
      <c r="L192" s="50" t="s">
        <v>154</v>
      </c>
      <c r="M192" s="110">
        <v>43</v>
      </c>
      <c r="N192" s="211">
        <v>168</v>
      </c>
      <c r="O192" s="110"/>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v>26.4</v>
      </c>
      <c r="BD192" s="39"/>
      <c r="BE192" s="39"/>
      <c r="BF192" s="39"/>
      <c r="BG192" s="39"/>
      <c r="BH192" s="39"/>
      <c r="BI192" s="39"/>
      <c r="BJ192" s="78">
        <f t="shared" si="23"/>
        <v>0</v>
      </c>
      <c r="BK192" s="39"/>
      <c r="BL192" s="44">
        <v>18</v>
      </c>
      <c r="BM192" s="79">
        <f t="shared" si="19"/>
        <v>0</v>
      </c>
      <c r="BN192" s="75"/>
      <c r="BO192" s="75"/>
    </row>
    <row r="193" spans="1:67" s="4" customFormat="1" ht="31.2" x14ac:dyDescent="0.3">
      <c r="A193" s="48">
        <v>26</v>
      </c>
      <c r="B193" s="50" t="s">
        <v>339</v>
      </c>
      <c r="C193" s="41" t="s">
        <v>56</v>
      </c>
      <c r="D193" s="39">
        <v>0.6</v>
      </c>
      <c r="E193" s="39"/>
      <c r="F193" s="39">
        <v>0.6</v>
      </c>
      <c r="G193" s="39">
        <v>0</v>
      </c>
      <c r="H193" s="39"/>
      <c r="I193" s="39"/>
      <c r="J193" s="39">
        <v>0.6</v>
      </c>
      <c r="K193" s="50" t="s">
        <v>201</v>
      </c>
      <c r="L193" s="50" t="s">
        <v>179</v>
      </c>
      <c r="M193" s="110">
        <v>10</v>
      </c>
      <c r="N193" s="211">
        <v>169</v>
      </c>
      <c r="O193" s="110"/>
      <c r="P193" s="39"/>
      <c r="Q193" s="39"/>
      <c r="R193" s="39"/>
      <c r="S193" s="39"/>
      <c r="T193" s="39"/>
      <c r="U193" s="39"/>
      <c r="V193" s="39"/>
      <c r="W193" s="39"/>
      <c r="X193" s="39"/>
      <c r="Y193" s="39"/>
      <c r="Z193" s="39">
        <v>0.6</v>
      </c>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78">
        <f t="shared" si="23"/>
        <v>0</v>
      </c>
      <c r="BK193" s="84"/>
      <c r="BL193" s="44">
        <v>18</v>
      </c>
      <c r="BM193" s="79">
        <f t="shared" si="19"/>
        <v>0</v>
      </c>
      <c r="BN193" s="75"/>
      <c r="BO193" s="75"/>
    </row>
    <row r="194" spans="1:67" s="4" customFormat="1" ht="31.2" x14ac:dyDescent="0.3">
      <c r="A194" s="48">
        <v>27</v>
      </c>
      <c r="B194" s="50" t="s">
        <v>339</v>
      </c>
      <c r="C194" s="41" t="s">
        <v>56</v>
      </c>
      <c r="D194" s="39">
        <v>0.46</v>
      </c>
      <c r="E194" s="39"/>
      <c r="F194" s="39">
        <v>0.46</v>
      </c>
      <c r="G194" s="39">
        <v>0</v>
      </c>
      <c r="H194" s="39"/>
      <c r="I194" s="39"/>
      <c r="J194" s="39">
        <v>0.46</v>
      </c>
      <c r="K194" s="50" t="s">
        <v>202</v>
      </c>
      <c r="L194" s="50" t="s">
        <v>179</v>
      </c>
      <c r="M194" s="110">
        <v>11</v>
      </c>
      <c r="N194" s="211">
        <v>170</v>
      </c>
      <c r="O194" s="110"/>
      <c r="P194" s="39"/>
      <c r="Q194" s="39"/>
      <c r="R194" s="39"/>
      <c r="S194" s="39"/>
      <c r="T194" s="39"/>
      <c r="U194" s="39"/>
      <c r="V194" s="39"/>
      <c r="W194" s="39"/>
      <c r="X194" s="39"/>
      <c r="Y194" s="39"/>
      <c r="Z194" s="39">
        <v>0.46</v>
      </c>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78">
        <f t="shared" ref="BJ194:BJ225" si="28">D194-E194-F194</f>
        <v>0</v>
      </c>
      <c r="BK194" s="84"/>
      <c r="BL194" s="44">
        <v>18</v>
      </c>
      <c r="BM194" s="79">
        <f t="shared" si="19"/>
        <v>0</v>
      </c>
      <c r="BN194" s="75"/>
      <c r="BO194" s="75"/>
    </row>
    <row r="195" spans="1:67" s="4" customFormat="1" x14ac:dyDescent="0.3">
      <c r="A195" s="48">
        <v>28</v>
      </c>
      <c r="B195" s="50" t="s">
        <v>339</v>
      </c>
      <c r="C195" s="41" t="s">
        <v>56</v>
      </c>
      <c r="D195" s="39">
        <v>1.71</v>
      </c>
      <c r="E195" s="39"/>
      <c r="F195" s="39">
        <v>1.71</v>
      </c>
      <c r="G195" s="39"/>
      <c r="H195" s="39"/>
      <c r="I195" s="39"/>
      <c r="J195" s="39">
        <v>1.71</v>
      </c>
      <c r="K195" s="50" t="s">
        <v>203</v>
      </c>
      <c r="L195" s="50" t="s">
        <v>179</v>
      </c>
      <c r="M195" s="110">
        <v>12</v>
      </c>
      <c r="N195" s="211">
        <v>171</v>
      </c>
      <c r="O195" s="110"/>
      <c r="P195" s="39"/>
      <c r="Q195" s="39"/>
      <c r="R195" s="39"/>
      <c r="S195" s="39"/>
      <c r="T195" s="39"/>
      <c r="U195" s="39"/>
      <c r="V195" s="39"/>
      <c r="W195" s="39"/>
      <c r="X195" s="39"/>
      <c r="Y195" s="39"/>
      <c r="Z195" s="39"/>
      <c r="AA195" s="39"/>
      <c r="AB195" s="39">
        <v>1.71</v>
      </c>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78">
        <f t="shared" si="28"/>
        <v>0</v>
      </c>
      <c r="BK195" s="84"/>
      <c r="BL195" s="44">
        <v>18</v>
      </c>
      <c r="BM195" s="79">
        <f t="shared" si="19"/>
        <v>0</v>
      </c>
      <c r="BN195" s="75"/>
      <c r="BO195" s="75"/>
    </row>
    <row r="196" spans="1:67" s="4" customFormat="1" ht="31.2" x14ac:dyDescent="0.3">
      <c r="A196" s="48">
        <v>29</v>
      </c>
      <c r="B196" s="50" t="s">
        <v>167</v>
      </c>
      <c r="C196" s="39" t="s">
        <v>56</v>
      </c>
      <c r="D196" s="39">
        <v>1.9400000000000002</v>
      </c>
      <c r="E196" s="39"/>
      <c r="F196" s="39">
        <v>1.9400000000000002</v>
      </c>
      <c r="G196" s="39">
        <v>1.6</v>
      </c>
      <c r="H196" s="39"/>
      <c r="I196" s="39"/>
      <c r="J196" s="39">
        <v>0.34</v>
      </c>
      <c r="K196" s="50" t="s">
        <v>204</v>
      </c>
      <c r="L196" s="50" t="s">
        <v>179</v>
      </c>
      <c r="M196" s="110">
        <v>13</v>
      </c>
      <c r="N196" s="211">
        <v>172</v>
      </c>
      <c r="O196" s="110"/>
      <c r="P196" s="39"/>
      <c r="Q196" s="39"/>
      <c r="R196" s="39"/>
      <c r="S196" s="39"/>
      <c r="T196" s="39"/>
      <c r="U196" s="39"/>
      <c r="V196" s="39"/>
      <c r="W196" s="39"/>
      <c r="X196" s="39"/>
      <c r="Y196" s="39"/>
      <c r="Z196" s="39">
        <v>0.34</v>
      </c>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78">
        <f t="shared" si="28"/>
        <v>0</v>
      </c>
      <c r="BK196" s="84"/>
      <c r="BL196" s="44">
        <v>18</v>
      </c>
      <c r="BM196" s="79">
        <f t="shared" si="19"/>
        <v>0</v>
      </c>
      <c r="BN196" s="75"/>
      <c r="BO196" s="75"/>
    </row>
    <row r="197" spans="1:67" s="4" customFormat="1" ht="31.2" x14ac:dyDescent="0.3">
      <c r="A197" s="48">
        <v>30</v>
      </c>
      <c r="B197" s="50" t="s">
        <v>535</v>
      </c>
      <c r="C197" s="39" t="s">
        <v>56</v>
      </c>
      <c r="D197" s="41">
        <v>19.899999999999999</v>
      </c>
      <c r="E197" s="41"/>
      <c r="F197" s="41">
        <v>19.899999999999999</v>
      </c>
      <c r="G197" s="39">
        <v>9.9</v>
      </c>
      <c r="H197" s="39"/>
      <c r="I197" s="39"/>
      <c r="J197" s="39">
        <v>10</v>
      </c>
      <c r="K197" s="50" t="s">
        <v>209</v>
      </c>
      <c r="L197" s="50" t="s">
        <v>208</v>
      </c>
      <c r="M197" s="110">
        <v>3</v>
      </c>
      <c r="N197" s="211">
        <v>173</v>
      </c>
      <c r="O197" s="110"/>
      <c r="P197" s="39"/>
      <c r="Q197" s="39"/>
      <c r="R197" s="39"/>
      <c r="S197" s="39"/>
      <c r="T197" s="39"/>
      <c r="U197" s="39"/>
      <c r="V197" s="39"/>
      <c r="W197" s="39"/>
      <c r="X197" s="39"/>
      <c r="Y197" s="39"/>
      <c r="Z197" s="39">
        <v>4.5999999999999996</v>
      </c>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v>5.4</v>
      </c>
      <c r="BF197" s="39"/>
      <c r="BG197" s="39"/>
      <c r="BH197" s="39"/>
      <c r="BI197" s="39"/>
      <c r="BJ197" s="78">
        <f t="shared" si="28"/>
        <v>0</v>
      </c>
      <c r="BK197" s="84"/>
      <c r="BL197" s="44">
        <v>18</v>
      </c>
      <c r="BM197" s="79">
        <f t="shared" si="19"/>
        <v>0</v>
      </c>
      <c r="BN197" s="75"/>
      <c r="BO197" s="75"/>
    </row>
    <row r="198" spans="1:67" s="4" customFormat="1" x14ac:dyDescent="0.3">
      <c r="A198" s="48">
        <v>31</v>
      </c>
      <c r="B198" s="50" t="s">
        <v>210</v>
      </c>
      <c r="C198" s="39" t="s">
        <v>56</v>
      </c>
      <c r="D198" s="41">
        <v>17.100000000000001</v>
      </c>
      <c r="E198" s="41"/>
      <c r="F198" s="41">
        <v>17.100000000000001</v>
      </c>
      <c r="G198" s="39"/>
      <c r="H198" s="39"/>
      <c r="I198" s="39"/>
      <c r="J198" s="39">
        <v>17.100000000000001</v>
      </c>
      <c r="K198" s="50" t="s">
        <v>211</v>
      </c>
      <c r="L198" s="50" t="s">
        <v>208</v>
      </c>
      <c r="M198" s="110">
        <v>4</v>
      </c>
      <c r="N198" s="211">
        <v>174</v>
      </c>
      <c r="O198" s="110"/>
      <c r="P198" s="39"/>
      <c r="Q198" s="39"/>
      <c r="R198" s="39"/>
      <c r="S198" s="39"/>
      <c r="T198" s="39"/>
      <c r="U198" s="39"/>
      <c r="V198" s="39"/>
      <c r="W198" s="39"/>
      <c r="X198" s="39">
        <v>12.5</v>
      </c>
      <c r="Y198" s="39"/>
      <c r="Z198" s="39">
        <v>2</v>
      </c>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v>2.6</v>
      </c>
      <c r="BF198" s="39"/>
      <c r="BG198" s="39"/>
      <c r="BH198" s="39"/>
      <c r="BI198" s="39"/>
      <c r="BJ198" s="78">
        <f t="shared" si="28"/>
        <v>0</v>
      </c>
      <c r="BK198" s="84"/>
      <c r="BL198" s="44">
        <v>18</v>
      </c>
      <c r="BM198" s="79">
        <f t="shared" si="19"/>
        <v>0</v>
      </c>
      <c r="BN198" s="75"/>
      <c r="BO198" s="75"/>
    </row>
    <row r="199" spans="1:67" s="4" customFormat="1" ht="36.75" customHeight="1" x14ac:dyDescent="0.3">
      <c r="A199" s="48">
        <v>32</v>
      </c>
      <c r="B199" s="42" t="s">
        <v>359</v>
      </c>
      <c r="C199" s="39" t="s">
        <v>56</v>
      </c>
      <c r="D199" s="41">
        <v>1.4</v>
      </c>
      <c r="E199" s="41"/>
      <c r="F199" s="41">
        <v>1.4</v>
      </c>
      <c r="G199" s="41"/>
      <c r="H199" s="41"/>
      <c r="I199" s="39"/>
      <c r="J199" s="39">
        <v>1.4</v>
      </c>
      <c r="K199" s="50" t="s">
        <v>211</v>
      </c>
      <c r="L199" s="50" t="s">
        <v>208</v>
      </c>
      <c r="M199" s="110">
        <v>45</v>
      </c>
      <c r="N199" s="211">
        <v>175</v>
      </c>
      <c r="O199" s="110"/>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v>1.4</v>
      </c>
      <c r="BF199" s="39"/>
      <c r="BG199" s="39"/>
      <c r="BH199" s="39"/>
      <c r="BI199" s="39"/>
      <c r="BJ199" s="78">
        <f t="shared" si="28"/>
        <v>0</v>
      </c>
      <c r="BK199" s="84"/>
      <c r="BL199" s="44">
        <v>18</v>
      </c>
      <c r="BM199" s="79">
        <f t="shared" si="19"/>
        <v>0</v>
      </c>
      <c r="BN199" s="75"/>
      <c r="BO199" s="75"/>
    </row>
    <row r="200" spans="1:67" s="4" customFormat="1" ht="60.75" customHeight="1" x14ac:dyDescent="0.3">
      <c r="A200" s="48">
        <v>33</v>
      </c>
      <c r="B200" s="42" t="s">
        <v>359</v>
      </c>
      <c r="C200" s="48" t="s">
        <v>56</v>
      </c>
      <c r="D200" s="39">
        <v>78.61</v>
      </c>
      <c r="E200" s="39"/>
      <c r="F200" s="39">
        <v>78.61</v>
      </c>
      <c r="G200" s="39">
        <v>32.6</v>
      </c>
      <c r="H200" s="39"/>
      <c r="I200" s="39"/>
      <c r="J200" s="39">
        <v>46.01</v>
      </c>
      <c r="K200" s="42" t="s">
        <v>983</v>
      </c>
      <c r="L200" s="42" t="s">
        <v>233</v>
      </c>
      <c r="M200" s="44">
        <v>11</v>
      </c>
      <c r="N200" s="209">
        <v>176</v>
      </c>
      <c r="O200" s="44"/>
      <c r="P200" s="84"/>
      <c r="Q200" s="84"/>
      <c r="R200" s="84"/>
      <c r="S200" s="84"/>
      <c r="T200" s="84"/>
      <c r="U200" s="84"/>
      <c r="V200" s="84"/>
      <c r="W200" s="84"/>
      <c r="X200" s="84">
        <f>6.09+35.9+3.1</f>
        <v>45.089999999999996</v>
      </c>
      <c r="Y200" s="84"/>
      <c r="Z200" s="118">
        <v>0.56999999999999995</v>
      </c>
      <c r="AA200" s="84"/>
      <c r="AB200" s="84"/>
      <c r="AC200" s="84"/>
      <c r="AD200" s="84"/>
      <c r="AE200" s="84"/>
      <c r="AF200" s="84"/>
      <c r="AG200" s="84"/>
      <c r="AH200" s="84"/>
      <c r="AI200" s="84"/>
      <c r="AJ200" s="84"/>
      <c r="AK200" s="84"/>
      <c r="AL200" s="84"/>
      <c r="AM200" s="118">
        <v>0.35</v>
      </c>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78">
        <f t="shared" si="28"/>
        <v>0</v>
      </c>
      <c r="BK200" s="97"/>
      <c r="BL200" s="44">
        <v>18</v>
      </c>
      <c r="BM200" s="79">
        <f t="shared" si="19"/>
        <v>0</v>
      </c>
      <c r="BN200" s="75"/>
      <c r="BO200" s="75"/>
    </row>
    <row r="201" spans="1:67" s="4" customFormat="1" x14ac:dyDescent="0.3">
      <c r="A201" s="48">
        <v>34</v>
      </c>
      <c r="B201" s="42" t="s">
        <v>1077</v>
      </c>
      <c r="C201" s="48" t="s">
        <v>56</v>
      </c>
      <c r="D201" s="39">
        <v>0.08</v>
      </c>
      <c r="E201" s="39"/>
      <c r="F201" s="39">
        <v>0.08</v>
      </c>
      <c r="G201" s="39"/>
      <c r="H201" s="39"/>
      <c r="I201" s="39"/>
      <c r="J201" s="39">
        <v>0.08</v>
      </c>
      <c r="K201" s="42" t="s">
        <v>984</v>
      </c>
      <c r="L201" s="42" t="s">
        <v>233</v>
      </c>
      <c r="M201" s="49">
        <v>32</v>
      </c>
      <c r="N201" s="208">
        <v>177</v>
      </c>
      <c r="O201" s="49"/>
      <c r="P201" s="84"/>
      <c r="Q201" s="84"/>
      <c r="R201" s="84"/>
      <c r="S201" s="84"/>
      <c r="T201" s="84"/>
      <c r="U201" s="84"/>
      <c r="V201" s="84"/>
      <c r="W201" s="84"/>
      <c r="X201" s="84"/>
      <c r="Y201" s="84"/>
      <c r="Z201" s="84"/>
      <c r="AA201" s="84">
        <v>0.08</v>
      </c>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78">
        <f t="shared" si="28"/>
        <v>0</v>
      </c>
      <c r="BK201" s="97"/>
      <c r="BL201" s="44">
        <v>18</v>
      </c>
      <c r="BM201" s="79">
        <f t="shared" si="19"/>
        <v>0</v>
      </c>
      <c r="BN201" s="75"/>
      <c r="BO201" s="75"/>
    </row>
    <row r="202" spans="1:67" s="4" customFormat="1" x14ac:dyDescent="0.3">
      <c r="A202" s="48">
        <v>35</v>
      </c>
      <c r="B202" s="42" t="s">
        <v>359</v>
      </c>
      <c r="C202" s="48" t="s">
        <v>56</v>
      </c>
      <c r="D202" s="41">
        <v>55.87</v>
      </c>
      <c r="E202" s="41"/>
      <c r="F202" s="41">
        <v>55.87</v>
      </c>
      <c r="G202" s="39"/>
      <c r="H202" s="39"/>
      <c r="I202" s="39"/>
      <c r="J202" s="39">
        <v>55.87</v>
      </c>
      <c r="K202" s="42" t="s">
        <v>247</v>
      </c>
      <c r="L202" s="42" t="s">
        <v>247</v>
      </c>
      <c r="M202" s="48">
        <v>4</v>
      </c>
      <c r="N202" s="206">
        <v>178</v>
      </c>
      <c r="O202" s="48"/>
      <c r="P202" s="84"/>
      <c r="Q202" s="84"/>
      <c r="R202" s="84"/>
      <c r="S202" s="84"/>
      <c r="T202" s="84"/>
      <c r="U202" s="84"/>
      <c r="V202" s="84"/>
      <c r="W202" s="84"/>
      <c r="X202" s="84">
        <v>55.87</v>
      </c>
      <c r="Y202" s="84"/>
      <c r="Z202" s="84"/>
      <c r="AA202" s="84"/>
      <c r="AB202" s="84"/>
      <c r="AC202" s="84"/>
      <c r="AD202" s="84"/>
      <c r="AE202" s="84"/>
      <c r="AF202" s="84"/>
      <c r="AG202" s="118"/>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78">
        <f t="shared" si="28"/>
        <v>0</v>
      </c>
      <c r="BK202" s="84"/>
      <c r="BL202" s="44">
        <v>18</v>
      </c>
      <c r="BM202" s="79">
        <f t="shared" si="19"/>
        <v>0</v>
      </c>
      <c r="BN202" s="75"/>
      <c r="BO202" s="75"/>
    </row>
    <row r="203" spans="1:67" s="4" customFormat="1" ht="46.8" x14ac:dyDescent="0.3">
      <c r="A203" s="48">
        <v>36</v>
      </c>
      <c r="B203" s="42" t="s">
        <v>534</v>
      </c>
      <c r="C203" s="43" t="s">
        <v>56</v>
      </c>
      <c r="D203" s="39">
        <f>21.9-16.56</f>
        <v>5.34</v>
      </c>
      <c r="E203" s="39">
        <v>3.23</v>
      </c>
      <c r="F203" s="39">
        <f>D203-E203</f>
        <v>2.11</v>
      </c>
      <c r="G203" s="41">
        <f>17.37-16.56</f>
        <v>0.81000000000000227</v>
      </c>
      <c r="H203" s="39"/>
      <c r="I203" s="39"/>
      <c r="J203" s="39">
        <f>F203-G203</f>
        <v>1.2999999999999976</v>
      </c>
      <c r="K203" s="42" t="s">
        <v>985</v>
      </c>
      <c r="L203" s="42" t="s">
        <v>261</v>
      </c>
      <c r="M203" s="43">
        <v>15</v>
      </c>
      <c r="N203" s="210">
        <v>179</v>
      </c>
      <c r="O203" s="43" t="s">
        <v>1189</v>
      </c>
      <c r="P203" s="84"/>
      <c r="Q203" s="84"/>
      <c r="R203" s="84"/>
      <c r="S203" s="84"/>
      <c r="T203" s="84"/>
      <c r="U203" s="84"/>
      <c r="V203" s="84"/>
      <c r="W203" s="84"/>
      <c r="X203" s="84"/>
      <c r="Y203" s="84"/>
      <c r="Z203" s="84"/>
      <c r="AA203" s="84"/>
      <c r="AB203" s="84">
        <v>0.18</v>
      </c>
      <c r="AC203" s="84"/>
      <c r="AD203" s="84"/>
      <c r="AE203" s="84"/>
      <c r="AF203" s="84"/>
      <c r="AG203" s="84"/>
      <c r="AH203" s="84"/>
      <c r="AI203" s="84"/>
      <c r="AJ203" s="84"/>
      <c r="AK203" s="84"/>
      <c r="AL203" s="84"/>
      <c r="AM203" s="84"/>
      <c r="AN203" s="84"/>
      <c r="AO203" s="84"/>
      <c r="AP203" s="84"/>
      <c r="AQ203" s="84">
        <v>0.5</v>
      </c>
      <c r="AR203" s="84">
        <v>0.62</v>
      </c>
      <c r="AS203" s="84"/>
      <c r="AT203" s="84"/>
      <c r="AU203" s="84"/>
      <c r="AV203" s="84"/>
      <c r="AW203" s="84"/>
      <c r="AX203" s="84"/>
      <c r="AY203" s="84"/>
      <c r="AZ203" s="84"/>
      <c r="BA203" s="84"/>
      <c r="BB203" s="84"/>
      <c r="BC203" s="84"/>
      <c r="BD203" s="84"/>
      <c r="BE203" s="84"/>
      <c r="BF203" s="84"/>
      <c r="BG203" s="84"/>
      <c r="BH203" s="84"/>
      <c r="BI203" s="84"/>
      <c r="BJ203" s="78">
        <f t="shared" si="28"/>
        <v>0</v>
      </c>
      <c r="BK203" s="84"/>
      <c r="BL203" s="44">
        <v>18</v>
      </c>
      <c r="BM203" s="79">
        <f t="shared" si="19"/>
        <v>-2.2204460492503131E-15</v>
      </c>
      <c r="BN203" s="75"/>
      <c r="BO203" s="75"/>
    </row>
    <row r="204" spans="1:67" s="4" customFormat="1" ht="46.8" x14ac:dyDescent="0.3">
      <c r="A204" s="48">
        <v>37</v>
      </c>
      <c r="B204" s="42" t="s">
        <v>534</v>
      </c>
      <c r="C204" s="43" t="s">
        <v>56</v>
      </c>
      <c r="D204" s="39">
        <v>0.4</v>
      </c>
      <c r="E204" s="39"/>
      <c r="F204" s="39">
        <v>0.4</v>
      </c>
      <c r="G204" s="41"/>
      <c r="H204" s="39"/>
      <c r="I204" s="39"/>
      <c r="J204" s="39">
        <v>0.4</v>
      </c>
      <c r="K204" s="42" t="s">
        <v>986</v>
      </c>
      <c r="L204" s="42" t="s">
        <v>261</v>
      </c>
      <c r="M204" s="43">
        <v>14</v>
      </c>
      <c r="N204" s="210">
        <v>180</v>
      </c>
      <c r="O204" s="43"/>
      <c r="P204" s="84"/>
      <c r="Q204" s="84"/>
      <c r="R204" s="84"/>
      <c r="S204" s="84"/>
      <c r="T204" s="84"/>
      <c r="U204" s="84"/>
      <c r="V204" s="84"/>
      <c r="W204" s="84"/>
      <c r="X204" s="84"/>
      <c r="Y204" s="84"/>
      <c r="Z204" s="84"/>
      <c r="AA204" s="84">
        <v>0.2</v>
      </c>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v>0.2</v>
      </c>
      <c r="BE204" s="118"/>
      <c r="BF204" s="84"/>
      <c r="BG204" s="84"/>
      <c r="BH204" s="84"/>
      <c r="BI204" s="84"/>
      <c r="BJ204" s="78">
        <f t="shared" si="28"/>
        <v>0</v>
      </c>
      <c r="BK204" s="84"/>
      <c r="BL204" s="44">
        <v>18</v>
      </c>
      <c r="BM204" s="79">
        <f t="shared" si="19"/>
        <v>0</v>
      </c>
      <c r="BN204" s="75"/>
      <c r="BO204" s="75"/>
    </row>
    <row r="205" spans="1:67" s="4" customFormat="1" x14ac:dyDescent="0.3">
      <c r="A205" s="48">
        <v>38</v>
      </c>
      <c r="B205" s="42" t="s">
        <v>359</v>
      </c>
      <c r="C205" s="48" t="s">
        <v>56</v>
      </c>
      <c r="D205" s="39">
        <v>0.2</v>
      </c>
      <c r="E205" s="39"/>
      <c r="F205" s="39">
        <v>0.2</v>
      </c>
      <c r="G205" s="39">
        <v>0.2</v>
      </c>
      <c r="H205" s="39"/>
      <c r="I205" s="39"/>
      <c r="J205" s="39"/>
      <c r="K205" s="42" t="s">
        <v>1025</v>
      </c>
      <c r="L205" s="42" t="s">
        <v>261</v>
      </c>
      <c r="M205" s="48">
        <v>18</v>
      </c>
      <c r="N205" s="206">
        <v>181</v>
      </c>
      <c r="O205" s="48"/>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118"/>
      <c r="BF205" s="84"/>
      <c r="BG205" s="84"/>
      <c r="BH205" s="84"/>
      <c r="BI205" s="84"/>
      <c r="BJ205" s="78">
        <f t="shared" si="28"/>
        <v>0</v>
      </c>
      <c r="BK205" s="84"/>
      <c r="BL205" s="44">
        <v>18</v>
      </c>
      <c r="BM205" s="79">
        <f t="shared" si="19"/>
        <v>0</v>
      </c>
      <c r="BN205" s="75"/>
      <c r="BO205" s="75"/>
    </row>
    <row r="206" spans="1:67" s="4" customFormat="1" ht="31.2" x14ac:dyDescent="0.3">
      <c r="A206" s="48">
        <v>39</v>
      </c>
      <c r="B206" s="42" t="s">
        <v>269</v>
      </c>
      <c r="C206" s="48" t="s">
        <v>56</v>
      </c>
      <c r="D206" s="39">
        <v>9</v>
      </c>
      <c r="E206" s="39"/>
      <c r="F206" s="39">
        <v>9</v>
      </c>
      <c r="G206" s="136">
        <v>8</v>
      </c>
      <c r="H206" s="39"/>
      <c r="I206" s="39"/>
      <c r="J206" s="39">
        <v>1</v>
      </c>
      <c r="K206" s="42" t="s">
        <v>1026</v>
      </c>
      <c r="L206" s="42" t="s">
        <v>261</v>
      </c>
      <c r="M206" s="48">
        <v>20</v>
      </c>
      <c r="N206" s="206">
        <v>182</v>
      </c>
      <c r="O206" s="48"/>
      <c r="P206" s="84"/>
      <c r="Q206" s="84"/>
      <c r="R206" s="84"/>
      <c r="S206" s="84"/>
      <c r="T206" s="84"/>
      <c r="U206" s="84"/>
      <c r="V206" s="118"/>
      <c r="W206" s="84"/>
      <c r="X206" s="84"/>
      <c r="Y206" s="84"/>
      <c r="Z206" s="84"/>
      <c r="AA206" s="84"/>
      <c r="AB206" s="84"/>
      <c r="AC206" s="84"/>
      <c r="AD206" s="84"/>
      <c r="AE206" s="84"/>
      <c r="AF206" s="84"/>
      <c r="AG206" s="84"/>
      <c r="AH206" s="84"/>
      <c r="AI206" s="84"/>
      <c r="AJ206" s="84"/>
      <c r="AK206" s="84"/>
      <c r="AL206" s="84"/>
      <c r="AM206" s="84"/>
      <c r="AN206" s="84"/>
      <c r="AO206" s="84"/>
      <c r="AP206" s="84"/>
      <c r="AQ206" s="84">
        <v>0.5</v>
      </c>
      <c r="AR206" s="84">
        <v>0.5</v>
      </c>
      <c r="AS206" s="84"/>
      <c r="AT206" s="84"/>
      <c r="AU206" s="84"/>
      <c r="AV206" s="84"/>
      <c r="AW206" s="84"/>
      <c r="AX206" s="84"/>
      <c r="AY206" s="84"/>
      <c r="AZ206" s="84"/>
      <c r="BA206" s="84"/>
      <c r="BB206" s="84"/>
      <c r="BC206" s="84"/>
      <c r="BD206" s="84"/>
      <c r="BE206" s="84"/>
      <c r="BF206" s="84"/>
      <c r="BG206" s="84"/>
      <c r="BH206" s="84"/>
      <c r="BI206" s="84"/>
      <c r="BJ206" s="78">
        <f t="shared" si="28"/>
        <v>0</v>
      </c>
      <c r="BK206" s="84"/>
      <c r="BL206" s="44">
        <v>18</v>
      </c>
      <c r="BM206" s="79">
        <f t="shared" ref="BM206:BM271" si="29">J206-SUM(V206:BH206)</f>
        <v>0</v>
      </c>
      <c r="BN206" s="75"/>
      <c r="BO206" s="75"/>
    </row>
    <row r="207" spans="1:67" s="4" customFormat="1" x14ac:dyDescent="0.3">
      <c r="A207" s="48">
        <v>40</v>
      </c>
      <c r="B207" s="42" t="s">
        <v>359</v>
      </c>
      <c r="C207" s="48" t="s">
        <v>56</v>
      </c>
      <c r="D207" s="41">
        <v>1.49</v>
      </c>
      <c r="E207" s="41"/>
      <c r="F207" s="41">
        <v>1.49</v>
      </c>
      <c r="G207" s="39">
        <v>1.49</v>
      </c>
      <c r="H207" s="39"/>
      <c r="I207" s="39"/>
      <c r="J207" s="39"/>
      <c r="K207" s="42" t="s">
        <v>968</v>
      </c>
      <c r="L207" s="42" t="s">
        <v>280</v>
      </c>
      <c r="M207" s="48">
        <v>6</v>
      </c>
      <c r="N207" s="206">
        <v>183</v>
      </c>
      <c r="O207" s="48"/>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118"/>
      <c r="AP207" s="84"/>
      <c r="AQ207" s="84"/>
      <c r="AR207" s="84"/>
      <c r="AS207" s="84"/>
      <c r="AT207" s="84"/>
      <c r="AU207" s="84"/>
      <c r="AV207" s="84"/>
      <c r="AW207" s="84"/>
      <c r="AX207" s="84"/>
      <c r="AY207" s="84"/>
      <c r="AZ207" s="84"/>
      <c r="BA207" s="84"/>
      <c r="BB207" s="84"/>
      <c r="BC207" s="84"/>
      <c r="BD207" s="84"/>
      <c r="BE207" s="84"/>
      <c r="BF207" s="84"/>
      <c r="BG207" s="84"/>
      <c r="BH207" s="84"/>
      <c r="BI207" s="84"/>
      <c r="BJ207" s="78">
        <f t="shared" si="28"/>
        <v>0</v>
      </c>
      <c r="BK207" s="84"/>
      <c r="BL207" s="44">
        <v>18</v>
      </c>
      <c r="BM207" s="79">
        <f t="shared" si="29"/>
        <v>0</v>
      </c>
      <c r="BN207" s="75"/>
      <c r="BO207" s="75"/>
    </row>
    <row r="208" spans="1:67" s="4" customFormat="1" x14ac:dyDescent="0.3">
      <c r="A208" s="48">
        <v>41</v>
      </c>
      <c r="B208" s="42" t="s">
        <v>289</v>
      </c>
      <c r="C208" s="48" t="s">
        <v>56</v>
      </c>
      <c r="D208" s="39">
        <v>55.5</v>
      </c>
      <c r="E208" s="39"/>
      <c r="F208" s="39">
        <v>55.5</v>
      </c>
      <c r="G208" s="39"/>
      <c r="H208" s="39"/>
      <c r="I208" s="39"/>
      <c r="J208" s="39">
        <v>55.5</v>
      </c>
      <c r="K208" s="42" t="s">
        <v>953</v>
      </c>
      <c r="L208" s="42" t="s">
        <v>285</v>
      </c>
      <c r="M208" s="48">
        <v>9</v>
      </c>
      <c r="N208" s="206">
        <v>184</v>
      </c>
      <c r="O208" s="48"/>
      <c r="P208" s="84"/>
      <c r="Q208" s="84"/>
      <c r="R208" s="84"/>
      <c r="S208" s="84"/>
      <c r="T208" s="84"/>
      <c r="U208" s="84"/>
      <c r="V208" s="84"/>
      <c r="W208" s="84"/>
      <c r="X208" s="84">
        <v>55.5</v>
      </c>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78">
        <f t="shared" si="28"/>
        <v>0</v>
      </c>
      <c r="BK208" s="84"/>
      <c r="BL208" s="44">
        <v>18</v>
      </c>
      <c r="BM208" s="79">
        <f t="shared" si="29"/>
        <v>0</v>
      </c>
      <c r="BN208" s="75"/>
      <c r="BO208" s="75"/>
    </row>
    <row r="209" spans="1:67" s="4" customFormat="1" x14ac:dyDescent="0.3">
      <c r="A209" s="48">
        <v>42</v>
      </c>
      <c r="B209" s="42" t="s">
        <v>359</v>
      </c>
      <c r="C209" s="48" t="s">
        <v>56</v>
      </c>
      <c r="D209" s="39">
        <v>11.49</v>
      </c>
      <c r="E209" s="39"/>
      <c r="F209" s="39">
        <v>11.49</v>
      </c>
      <c r="G209" s="39">
        <f>4.47+3.45</f>
        <v>7.92</v>
      </c>
      <c r="H209" s="39"/>
      <c r="I209" s="39"/>
      <c r="J209" s="39">
        <v>3.57</v>
      </c>
      <c r="K209" s="42" t="s">
        <v>987</v>
      </c>
      <c r="L209" s="42" t="s">
        <v>285</v>
      </c>
      <c r="M209" s="48">
        <v>12</v>
      </c>
      <c r="N209" s="206">
        <v>185</v>
      </c>
      <c r="O209" s="48"/>
      <c r="P209" s="84"/>
      <c r="Q209" s="84"/>
      <c r="R209" s="84"/>
      <c r="S209" s="84"/>
      <c r="T209" s="84"/>
      <c r="U209" s="84"/>
      <c r="V209" s="118"/>
      <c r="W209" s="84"/>
      <c r="X209" s="84">
        <v>2.57</v>
      </c>
      <c r="Y209" s="84"/>
      <c r="Z209" s="84"/>
      <c r="AA209" s="84"/>
      <c r="AB209" s="84"/>
      <c r="AC209" s="84"/>
      <c r="AD209" s="84"/>
      <c r="AE209" s="84"/>
      <c r="AF209" s="84"/>
      <c r="AG209" s="84"/>
      <c r="AH209" s="84"/>
      <c r="AI209" s="84"/>
      <c r="AJ209" s="84"/>
      <c r="AK209" s="84"/>
      <c r="AL209" s="84"/>
      <c r="AM209" s="84"/>
      <c r="AN209" s="84"/>
      <c r="AO209" s="84"/>
      <c r="AP209" s="84"/>
      <c r="AQ209" s="84">
        <v>1</v>
      </c>
      <c r="AR209" s="84"/>
      <c r="AS209" s="84"/>
      <c r="AT209" s="84"/>
      <c r="AU209" s="84"/>
      <c r="AV209" s="84"/>
      <c r="AW209" s="84"/>
      <c r="AX209" s="84"/>
      <c r="AY209" s="84"/>
      <c r="AZ209" s="84"/>
      <c r="BA209" s="84"/>
      <c r="BB209" s="84"/>
      <c r="BC209" s="84"/>
      <c r="BD209" s="84"/>
      <c r="BE209" s="84"/>
      <c r="BF209" s="84"/>
      <c r="BG209" s="84"/>
      <c r="BH209" s="84"/>
      <c r="BI209" s="84"/>
      <c r="BJ209" s="78">
        <f t="shared" si="28"/>
        <v>0</v>
      </c>
      <c r="BK209" s="84"/>
      <c r="BL209" s="44">
        <v>18</v>
      </c>
      <c r="BM209" s="79">
        <f t="shared" si="29"/>
        <v>0</v>
      </c>
      <c r="BN209" s="75"/>
      <c r="BO209" s="75"/>
    </row>
    <row r="210" spans="1:67" s="4" customFormat="1" ht="54" customHeight="1" x14ac:dyDescent="0.3">
      <c r="A210" s="48">
        <v>43</v>
      </c>
      <c r="B210" s="42" t="s">
        <v>359</v>
      </c>
      <c r="C210" s="48" t="s">
        <v>56</v>
      </c>
      <c r="D210" s="39">
        <f>2.43+4.37+8.67+2.64+2.42-4.45</f>
        <v>16.080000000000002</v>
      </c>
      <c r="E210" s="39"/>
      <c r="F210" s="39">
        <f>2.43+4.37+8.67+2.64+2.42-4.45</f>
        <v>16.080000000000002</v>
      </c>
      <c r="G210" s="39">
        <v>6.8</v>
      </c>
      <c r="H210" s="39"/>
      <c r="I210" s="39"/>
      <c r="J210" s="39">
        <f>SUM(X210:BG210)</f>
        <v>9.2800000000000011</v>
      </c>
      <c r="K210" s="42" t="s">
        <v>356</v>
      </c>
      <c r="L210" s="42" t="s">
        <v>347</v>
      </c>
      <c r="M210" s="44">
        <v>18</v>
      </c>
      <c r="N210" s="209">
        <v>187</v>
      </c>
      <c r="O210" s="137" t="s">
        <v>1066</v>
      </c>
      <c r="P210" s="84"/>
      <c r="Q210" s="84"/>
      <c r="R210" s="84"/>
      <c r="S210" s="84"/>
      <c r="T210" s="84"/>
      <c r="U210" s="84"/>
      <c r="V210" s="84"/>
      <c r="W210" s="84"/>
      <c r="X210" s="84">
        <f>8.67+2.64-4.45</f>
        <v>6.86</v>
      </c>
      <c r="Y210" s="84"/>
      <c r="Z210" s="84"/>
      <c r="AA210" s="84"/>
      <c r="AB210" s="84">
        <v>0.19</v>
      </c>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f>2.42-0.19</f>
        <v>2.23</v>
      </c>
      <c r="BF210" s="84"/>
      <c r="BG210" s="84"/>
      <c r="BH210" s="79">
        <f>J210-SUM(V210:BG210)</f>
        <v>0</v>
      </c>
      <c r="BI210" s="79"/>
      <c r="BJ210" s="78">
        <f t="shared" si="28"/>
        <v>0</v>
      </c>
      <c r="BK210" s="48"/>
      <c r="BL210" s="44">
        <v>18</v>
      </c>
      <c r="BM210" s="79">
        <f t="shared" si="29"/>
        <v>0</v>
      </c>
      <c r="BN210" s="75"/>
      <c r="BO210" s="75"/>
    </row>
    <row r="211" spans="1:67" s="4" customFormat="1" ht="78" x14ac:dyDescent="0.3">
      <c r="A211" s="48">
        <v>44</v>
      </c>
      <c r="B211" s="42" t="s">
        <v>339</v>
      </c>
      <c r="C211" s="48" t="s">
        <v>56</v>
      </c>
      <c r="D211" s="41">
        <f>0.06+0.1+4.64+7.07+10.55+27.77+12.14+8.68+0.62</f>
        <v>71.63</v>
      </c>
      <c r="E211" s="41"/>
      <c r="F211" s="41">
        <f>0.06+0.1+4.64+7.07+10.55+27.77+12.14+8.68+0.62</f>
        <v>71.63</v>
      </c>
      <c r="G211" s="39">
        <f>4.64-0.04+7.07+10.55+27.77+12.14+7.68+0.37</f>
        <v>70.180000000000007</v>
      </c>
      <c r="H211" s="39"/>
      <c r="I211" s="39"/>
      <c r="J211" s="39">
        <f>SUM(Z211:BG211)</f>
        <v>1.45</v>
      </c>
      <c r="K211" s="42" t="s">
        <v>340</v>
      </c>
      <c r="L211" s="42" t="s">
        <v>294</v>
      </c>
      <c r="M211" s="43">
        <v>2</v>
      </c>
      <c r="N211" s="210">
        <v>188</v>
      </c>
      <c r="O211" s="43"/>
      <c r="P211" s="84"/>
      <c r="Q211" s="84"/>
      <c r="R211" s="84"/>
      <c r="S211" s="84"/>
      <c r="T211" s="84"/>
      <c r="U211" s="84"/>
      <c r="V211" s="84"/>
      <c r="W211" s="84"/>
      <c r="X211" s="84"/>
      <c r="Y211" s="84"/>
      <c r="Z211" s="48"/>
      <c r="AA211" s="48"/>
      <c r="AB211" s="48">
        <f>0.04+0.25</f>
        <v>0.28999999999999998</v>
      </c>
      <c r="AC211" s="48"/>
      <c r="AD211" s="48"/>
      <c r="AE211" s="48"/>
      <c r="AF211" s="48"/>
      <c r="AG211" s="48"/>
      <c r="AH211" s="48"/>
      <c r="AI211" s="48"/>
      <c r="AJ211" s="48"/>
      <c r="AK211" s="48"/>
      <c r="AL211" s="48"/>
      <c r="AM211" s="48"/>
      <c r="AN211" s="48"/>
      <c r="AO211" s="48"/>
      <c r="AP211" s="48"/>
      <c r="AQ211" s="48">
        <v>1</v>
      </c>
      <c r="AR211" s="48"/>
      <c r="AS211" s="48"/>
      <c r="AT211" s="48"/>
      <c r="AU211" s="48"/>
      <c r="AV211" s="48"/>
      <c r="AW211" s="48"/>
      <c r="AX211" s="48"/>
      <c r="AY211" s="48"/>
      <c r="AZ211" s="48"/>
      <c r="BA211" s="48"/>
      <c r="BB211" s="48"/>
      <c r="BC211" s="48"/>
      <c r="BD211" s="48"/>
      <c r="BE211" s="48">
        <f>0.16</f>
        <v>0.16</v>
      </c>
      <c r="BF211" s="48"/>
      <c r="BG211" s="48"/>
      <c r="BH211" s="48"/>
      <c r="BI211" s="48"/>
      <c r="BJ211" s="78">
        <f t="shared" si="28"/>
        <v>0</v>
      </c>
      <c r="BK211" s="84"/>
      <c r="BL211" s="44">
        <v>18</v>
      </c>
      <c r="BM211" s="79">
        <f t="shared" si="29"/>
        <v>0</v>
      </c>
      <c r="BN211" s="75"/>
      <c r="BO211" s="75"/>
    </row>
    <row r="212" spans="1:67" s="4" customFormat="1" ht="46.8" x14ac:dyDescent="0.3">
      <c r="A212" s="48">
        <v>45</v>
      </c>
      <c r="B212" s="42" t="s">
        <v>772</v>
      </c>
      <c r="C212" s="48" t="s">
        <v>56</v>
      </c>
      <c r="D212" s="41">
        <f>1.89+5+14.44+3.81</f>
        <v>25.139999999999997</v>
      </c>
      <c r="E212" s="41"/>
      <c r="F212" s="41">
        <f>1.89+5+14.44+3.81</f>
        <v>25.139999999999997</v>
      </c>
      <c r="G212" s="39">
        <f>1.89-0.8</f>
        <v>1.0899999999999999</v>
      </c>
      <c r="H212" s="39">
        <f>SUM(P212:R212)</f>
        <v>2.11</v>
      </c>
      <c r="I212" s="39"/>
      <c r="J212" s="39">
        <f>SUM(V212:BG212)</f>
        <v>21.939999999999998</v>
      </c>
      <c r="K212" s="42" t="s">
        <v>363</v>
      </c>
      <c r="L212" s="42" t="s">
        <v>364</v>
      </c>
      <c r="M212" s="44">
        <v>8</v>
      </c>
      <c r="N212" s="209">
        <v>189</v>
      </c>
      <c r="O212" s="138" t="s">
        <v>1248</v>
      </c>
      <c r="P212" s="39"/>
      <c r="Q212" s="39">
        <v>2.11</v>
      </c>
      <c r="R212" s="39"/>
      <c r="S212" s="39"/>
      <c r="T212" s="39"/>
      <c r="U212" s="39"/>
      <c r="V212" s="39"/>
      <c r="W212" s="39"/>
      <c r="X212" s="39">
        <f>0.17+0.37+6.3+2.14</f>
        <v>8.98</v>
      </c>
      <c r="Y212" s="39"/>
      <c r="Z212" s="39">
        <f>5-2.11-0.54+14.44-6.3</f>
        <v>10.489999999999998</v>
      </c>
      <c r="AA212" s="39"/>
      <c r="AB212" s="39"/>
      <c r="AC212" s="39"/>
      <c r="AD212" s="39"/>
      <c r="AE212" s="39"/>
      <c r="AF212" s="39"/>
      <c r="AG212" s="39"/>
      <c r="AH212" s="39"/>
      <c r="AI212" s="39"/>
      <c r="AJ212" s="39"/>
      <c r="AK212" s="39"/>
      <c r="AL212" s="39"/>
      <c r="AM212" s="39"/>
      <c r="AN212" s="39"/>
      <c r="AO212" s="39"/>
      <c r="AP212" s="39"/>
      <c r="AQ212" s="39"/>
      <c r="AR212" s="39">
        <v>0.8</v>
      </c>
      <c r="AS212" s="39"/>
      <c r="AT212" s="39"/>
      <c r="AU212" s="39"/>
      <c r="AV212" s="39"/>
      <c r="AW212" s="39"/>
      <c r="AX212" s="39"/>
      <c r="AY212" s="39"/>
      <c r="AZ212" s="39"/>
      <c r="BA212" s="39"/>
      <c r="BB212" s="39"/>
      <c r="BC212" s="39"/>
      <c r="BD212" s="39"/>
      <c r="BE212" s="39">
        <v>1.67</v>
      </c>
      <c r="BF212" s="39"/>
      <c r="BG212" s="39"/>
      <c r="BH212" s="39"/>
      <c r="BI212" s="39"/>
      <c r="BJ212" s="78">
        <f t="shared" si="28"/>
        <v>0</v>
      </c>
      <c r="BK212" s="84"/>
      <c r="BL212" s="44">
        <v>18</v>
      </c>
      <c r="BM212" s="79">
        <f t="shared" si="29"/>
        <v>0</v>
      </c>
      <c r="BN212" s="75"/>
      <c r="BO212" s="75"/>
    </row>
    <row r="213" spans="1:67" s="4" customFormat="1" ht="31.2" x14ac:dyDescent="0.3">
      <c r="A213" s="48">
        <v>46</v>
      </c>
      <c r="B213" s="42" t="s">
        <v>339</v>
      </c>
      <c r="C213" s="48" t="s">
        <v>56</v>
      </c>
      <c r="D213" s="39">
        <f>5.07+0.76+0.29+24.54+24.3+12.35+0.44</f>
        <v>67.75</v>
      </c>
      <c r="E213" s="39"/>
      <c r="F213" s="39">
        <f>5.07+0.76+0.29+24.54+24.3+12.35+0.44</f>
        <v>67.75</v>
      </c>
      <c r="G213" s="39">
        <f>5.07-0.3+0.76+0.29+18.01+42.21+12.35-0.86-1.43-2.75+0.59-20.39</f>
        <v>53.55</v>
      </c>
      <c r="H213" s="39"/>
      <c r="I213" s="39"/>
      <c r="J213" s="39">
        <f>SUM(Z213:BG213)</f>
        <v>14.2</v>
      </c>
      <c r="K213" s="42" t="s">
        <v>378</v>
      </c>
      <c r="L213" s="42" t="s">
        <v>377</v>
      </c>
      <c r="M213" s="43">
        <v>8</v>
      </c>
      <c r="N213" s="210">
        <v>190</v>
      </c>
      <c r="O213" s="43"/>
      <c r="P213" s="84"/>
      <c r="Q213" s="84"/>
      <c r="R213" s="84"/>
      <c r="S213" s="84"/>
      <c r="T213" s="84"/>
      <c r="U213" s="84"/>
      <c r="V213" s="84"/>
      <c r="W213" s="84"/>
      <c r="X213" s="84"/>
      <c r="Y213" s="84"/>
      <c r="Z213" s="84">
        <f>0.85+0.7+1</f>
        <v>2.5499999999999998</v>
      </c>
      <c r="AA213" s="84">
        <v>0.44</v>
      </c>
      <c r="AB213" s="84">
        <f>0.3+0.86</f>
        <v>1.1599999999999999</v>
      </c>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f>4.12+1.45</f>
        <v>5.57</v>
      </c>
      <c r="BE213" s="84">
        <f>1.43+2.75</f>
        <v>4.18</v>
      </c>
      <c r="BF213" s="84"/>
      <c r="BG213" s="84">
        <v>0.3</v>
      </c>
      <c r="BH213" s="84"/>
      <c r="BI213" s="84"/>
      <c r="BJ213" s="78">
        <f t="shared" si="28"/>
        <v>0</v>
      </c>
      <c r="BK213" s="84"/>
      <c r="BL213" s="44">
        <v>18</v>
      </c>
      <c r="BM213" s="79">
        <f t="shared" si="29"/>
        <v>0</v>
      </c>
      <c r="BN213" s="75"/>
      <c r="BO213" s="75"/>
    </row>
    <row r="214" spans="1:67" s="4" customFormat="1" ht="46.8" x14ac:dyDescent="0.3">
      <c r="A214" s="48">
        <v>47</v>
      </c>
      <c r="B214" s="42" t="s">
        <v>359</v>
      </c>
      <c r="C214" s="48" t="s">
        <v>56</v>
      </c>
      <c r="D214" s="39">
        <f>0.2+0.88+0.64</f>
        <v>1.7200000000000002</v>
      </c>
      <c r="E214" s="39"/>
      <c r="F214" s="39">
        <f>0.2+0.88+0.64</f>
        <v>1.7200000000000002</v>
      </c>
      <c r="G214" s="39">
        <f>0.2+0.38</f>
        <v>0.58000000000000007</v>
      </c>
      <c r="H214" s="39"/>
      <c r="I214" s="39"/>
      <c r="J214" s="39">
        <f>SUM(P214:BE214)</f>
        <v>1.1400000000000001</v>
      </c>
      <c r="K214" s="42" t="s">
        <v>411</v>
      </c>
      <c r="L214" s="42" t="s">
        <v>395</v>
      </c>
      <c r="M214" s="44">
        <v>24</v>
      </c>
      <c r="N214" s="209">
        <v>191</v>
      </c>
      <c r="O214" s="44"/>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v>0.5</v>
      </c>
      <c r="BD214" s="119"/>
      <c r="BE214" s="119">
        <v>0.64</v>
      </c>
      <c r="BF214" s="119"/>
      <c r="BG214" s="119"/>
      <c r="BH214" s="119"/>
      <c r="BI214" s="119"/>
      <c r="BJ214" s="78">
        <f t="shared" si="28"/>
        <v>0</v>
      </c>
      <c r="BK214" s="84"/>
      <c r="BL214" s="44">
        <v>18</v>
      </c>
      <c r="BM214" s="79">
        <f t="shared" si="29"/>
        <v>0</v>
      </c>
      <c r="BN214" s="75"/>
      <c r="BO214" s="75"/>
    </row>
    <row r="215" spans="1:67" s="4" customFormat="1" x14ac:dyDescent="0.3">
      <c r="A215" s="48">
        <v>48</v>
      </c>
      <c r="B215" s="42" t="s">
        <v>359</v>
      </c>
      <c r="C215" s="48" t="s">
        <v>56</v>
      </c>
      <c r="D215" s="39">
        <f>1.24+2.71</f>
        <v>3.95</v>
      </c>
      <c r="E215" s="39"/>
      <c r="F215" s="39">
        <f>1.24+2.71</f>
        <v>3.95</v>
      </c>
      <c r="G215" s="39">
        <v>2.71</v>
      </c>
      <c r="H215" s="39"/>
      <c r="I215" s="39"/>
      <c r="J215" s="39">
        <f t="shared" ref="J215:J222" si="30">SUM(P215:BG215)</f>
        <v>1.24</v>
      </c>
      <c r="K215" s="42" t="s">
        <v>416</v>
      </c>
      <c r="L215" s="42" t="s">
        <v>415</v>
      </c>
      <c r="M215" s="43">
        <v>25</v>
      </c>
      <c r="N215" s="210">
        <v>192</v>
      </c>
      <c r="O215" s="43"/>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v>1.24</v>
      </c>
      <c r="BF215" s="84"/>
      <c r="BG215" s="84"/>
      <c r="BH215" s="84"/>
      <c r="BI215" s="84"/>
      <c r="BJ215" s="78">
        <f t="shared" si="28"/>
        <v>0</v>
      </c>
      <c r="BK215" s="84"/>
      <c r="BL215" s="44">
        <v>18</v>
      </c>
      <c r="BM215" s="79">
        <f t="shared" si="29"/>
        <v>0</v>
      </c>
      <c r="BN215" s="75"/>
      <c r="BO215" s="75"/>
    </row>
    <row r="216" spans="1:67" s="4" customFormat="1" x14ac:dyDescent="0.3">
      <c r="A216" s="48">
        <v>49</v>
      </c>
      <c r="B216" s="42" t="s">
        <v>359</v>
      </c>
      <c r="C216" s="48" t="s">
        <v>56</v>
      </c>
      <c r="D216" s="39">
        <v>3</v>
      </c>
      <c r="E216" s="39"/>
      <c r="F216" s="39">
        <v>3</v>
      </c>
      <c r="G216" s="39">
        <v>3</v>
      </c>
      <c r="H216" s="39"/>
      <c r="I216" s="39"/>
      <c r="J216" s="39">
        <f t="shared" si="30"/>
        <v>0</v>
      </c>
      <c r="K216" s="42" t="s">
        <v>441</v>
      </c>
      <c r="L216" s="42" t="s">
        <v>415</v>
      </c>
      <c r="M216" s="43">
        <v>28</v>
      </c>
      <c r="N216" s="210">
        <v>193</v>
      </c>
      <c r="O216" s="43"/>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78">
        <f t="shared" si="28"/>
        <v>0</v>
      </c>
      <c r="BK216" s="84"/>
      <c r="BL216" s="44">
        <v>18</v>
      </c>
      <c r="BM216" s="79">
        <f t="shared" si="29"/>
        <v>0</v>
      </c>
      <c r="BN216" s="75"/>
      <c r="BO216" s="75"/>
    </row>
    <row r="217" spans="1:67" s="4" customFormat="1" x14ac:dyDescent="0.3">
      <c r="A217" s="48">
        <v>50</v>
      </c>
      <c r="B217" s="42" t="s">
        <v>359</v>
      </c>
      <c r="C217" s="48" t="s">
        <v>56</v>
      </c>
      <c r="D217" s="39">
        <f>4.49+5.34</f>
        <v>9.83</v>
      </c>
      <c r="E217" s="39"/>
      <c r="F217" s="39">
        <f>4.49+5.34</f>
        <v>9.83</v>
      </c>
      <c r="G217" s="39">
        <v>9.83</v>
      </c>
      <c r="H217" s="39"/>
      <c r="I217" s="39"/>
      <c r="J217" s="39">
        <f t="shared" si="30"/>
        <v>0</v>
      </c>
      <c r="K217" s="42" t="s">
        <v>429</v>
      </c>
      <c r="L217" s="42" t="s">
        <v>415</v>
      </c>
      <c r="M217" s="43">
        <v>29</v>
      </c>
      <c r="N217" s="210">
        <v>194</v>
      </c>
      <c r="O217" s="43"/>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78">
        <f t="shared" si="28"/>
        <v>0</v>
      </c>
      <c r="BK217" s="84"/>
      <c r="BL217" s="44">
        <v>18</v>
      </c>
      <c r="BM217" s="79">
        <f t="shared" si="29"/>
        <v>0</v>
      </c>
      <c r="BN217" s="75"/>
      <c r="BO217" s="75"/>
    </row>
    <row r="218" spans="1:67" s="4" customFormat="1" x14ac:dyDescent="0.3">
      <c r="A218" s="48">
        <v>51</v>
      </c>
      <c r="B218" s="42" t="s">
        <v>359</v>
      </c>
      <c r="C218" s="48" t="s">
        <v>56</v>
      </c>
      <c r="D218" s="39">
        <v>1.1599999999999999</v>
      </c>
      <c r="E218" s="39"/>
      <c r="F218" s="39">
        <v>1.1599999999999999</v>
      </c>
      <c r="G218" s="39">
        <v>1.1599999999999999</v>
      </c>
      <c r="H218" s="39"/>
      <c r="I218" s="39"/>
      <c r="J218" s="39">
        <f t="shared" si="30"/>
        <v>0</v>
      </c>
      <c r="K218" s="42" t="s">
        <v>426</v>
      </c>
      <c r="L218" s="42" t="s">
        <v>415</v>
      </c>
      <c r="M218" s="43">
        <v>32</v>
      </c>
      <c r="N218" s="210">
        <v>195</v>
      </c>
      <c r="O218" s="43"/>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78">
        <f t="shared" si="28"/>
        <v>0</v>
      </c>
      <c r="BK218" s="84"/>
      <c r="BL218" s="44">
        <v>18</v>
      </c>
      <c r="BM218" s="79">
        <f t="shared" si="29"/>
        <v>0</v>
      </c>
      <c r="BN218" s="75"/>
      <c r="BO218" s="75"/>
    </row>
    <row r="219" spans="1:67" s="4" customFormat="1" ht="31.2" x14ac:dyDescent="0.3">
      <c r="A219" s="48">
        <v>52</v>
      </c>
      <c r="B219" s="42" t="s">
        <v>359</v>
      </c>
      <c r="C219" s="48" t="s">
        <v>56</v>
      </c>
      <c r="D219" s="39">
        <f>1.56+0.81</f>
        <v>2.37</v>
      </c>
      <c r="E219" s="39"/>
      <c r="F219" s="39">
        <v>2.37</v>
      </c>
      <c r="G219" s="39">
        <v>0.21</v>
      </c>
      <c r="H219" s="39"/>
      <c r="I219" s="39"/>
      <c r="J219" s="39">
        <f t="shared" si="30"/>
        <v>2.16</v>
      </c>
      <c r="K219" s="42" t="s">
        <v>444</v>
      </c>
      <c r="L219" s="42" t="s">
        <v>415</v>
      </c>
      <c r="M219" s="43">
        <v>56</v>
      </c>
      <c r="N219" s="210">
        <v>196</v>
      </c>
      <c r="O219" s="43"/>
      <c r="P219" s="84"/>
      <c r="Q219" s="84"/>
      <c r="R219" s="84"/>
      <c r="S219" s="84"/>
      <c r="T219" s="84"/>
      <c r="U219" s="84"/>
      <c r="V219" s="84"/>
      <c r="W219" s="84"/>
      <c r="X219" s="84"/>
      <c r="Y219" s="84"/>
      <c r="Z219" s="84"/>
      <c r="AA219" s="84"/>
      <c r="AB219" s="84"/>
      <c r="AC219" s="84"/>
      <c r="AD219" s="84"/>
      <c r="AE219" s="84">
        <v>0.09</v>
      </c>
      <c r="AF219" s="84"/>
      <c r="AG219" s="84">
        <v>0.13</v>
      </c>
      <c r="AH219" s="84"/>
      <c r="AI219" s="84"/>
      <c r="AJ219" s="84"/>
      <c r="AK219" s="84"/>
      <c r="AL219" s="84"/>
      <c r="AM219" s="84"/>
      <c r="AN219" s="84"/>
      <c r="AO219" s="84">
        <v>1.17</v>
      </c>
      <c r="AP219" s="84"/>
      <c r="AQ219" s="84">
        <v>0.05</v>
      </c>
      <c r="AR219" s="84"/>
      <c r="AS219" s="84"/>
      <c r="AT219" s="84"/>
      <c r="AU219" s="84"/>
      <c r="AV219" s="84"/>
      <c r="AW219" s="84"/>
      <c r="AX219" s="84"/>
      <c r="AY219" s="84"/>
      <c r="AZ219" s="84"/>
      <c r="BA219" s="84"/>
      <c r="BB219" s="84"/>
      <c r="BC219" s="84"/>
      <c r="BD219" s="84"/>
      <c r="BE219" s="84">
        <v>0.72</v>
      </c>
      <c r="BF219" s="84"/>
      <c r="BG219" s="84"/>
      <c r="BH219" s="84"/>
      <c r="BI219" s="84"/>
      <c r="BJ219" s="78">
        <f t="shared" si="28"/>
        <v>0</v>
      </c>
      <c r="BK219" s="84"/>
      <c r="BL219" s="44">
        <v>18</v>
      </c>
      <c r="BM219" s="79">
        <f t="shared" si="29"/>
        <v>0</v>
      </c>
      <c r="BN219" s="75"/>
      <c r="BO219" s="75"/>
    </row>
    <row r="220" spans="1:67" s="4" customFormat="1" x14ac:dyDescent="0.3">
      <c r="A220" s="48">
        <v>53</v>
      </c>
      <c r="B220" s="42" t="s">
        <v>359</v>
      </c>
      <c r="C220" s="48" t="s">
        <v>56</v>
      </c>
      <c r="D220" s="39">
        <f>2.64+0.87</f>
        <v>3.5100000000000002</v>
      </c>
      <c r="E220" s="39"/>
      <c r="F220" s="39">
        <v>3.51</v>
      </c>
      <c r="G220" s="39">
        <f>3.51-0.62</f>
        <v>2.8899999999999997</v>
      </c>
      <c r="H220" s="39"/>
      <c r="I220" s="39"/>
      <c r="J220" s="39">
        <f t="shared" si="30"/>
        <v>0.62</v>
      </c>
      <c r="K220" s="42" t="s">
        <v>435</v>
      </c>
      <c r="L220" s="42" t="s">
        <v>415</v>
      </c>
      <c r="M220" s="43">
        <v>63</v>
      </c>
      <c r="N220" s="210">
        <v>197</v>
      </c>
      <c r="O220" s="43"/>
      <c r="P220" s="84"/>
      <c r="Q220" s="84"/>
      <c r="R220" s="84"/>
      <c r="S220" s="84"/>
      <c r="T220" s="84"/>
      <c r="U220" s="84"/>
      <c r="V220" s="84"/>
      <c r="W220" s="84"/>
      <c r="X220" s="84"/>
      <c r="Y220" s="84"/>
      <c r="Z220" s="84">
        <f>0.23+0.14</f>
        <v>0.37</v>
      </c>
      <c r="AA220" s="84"/>
      <c r="AB220" s="84"/>
      <c r="AC220" s="84"/>
      <c r="AD220" s="84"/>
      <c r="AE220" s="84"/>
      <c r="AF220" s="84"/>
      <c r="AG220" s="84"/>
      <c r="AH220" s="84"/>
      <c r="AI220" s="84"/>
      <c r="AJ220" s="84"/>
      <c r="AK220" s="84"/>
      <c r="AL220" s="84"/>
      <c r="AM220" s="84"/>
      <c r="AN220" s="84"/>
      <c r="AO220" s="84"/>
      <c r="AP220" s="84"/>
      <c r="AQ220" s="84">
        <v>0.25</v>
      </c>
      <c r="AR220" s="84"/>
      <c r="AS220" s="84"/>
      <c r="AT220" s="84"/>
      <c r="AU220" s="84"/>
      <c r="AV220" s="84"/>
      <c r="AW220" s="84"/>
      <c r="AX220" s="84"/>
      <c r="AY220" s="84"/>
      <c r="AZ220" s="84"/>
      <c r="BA220" s="84"/>
      <c r="BB220" s="84"/>
      <c r="BC220" s="84"/>
      <c r="BD220" s="84"/>
      <c r="BE220" s="84"/>
      <c r="BF220" s="84"/>
      <c r="BG220" s="84"/>
      <c r="BH220" s="84"/>
      <c r="BI220" s="84"/>
      <c r="BJ220" s="78">
        <f t="shared" si="28"/>
        <v>0</v>
      </c>
      <c r="BK220" s="84"/>
      <c r="BL220" s="44"/>
      <c r="BM220" s="79"/>
      <c r="BN220" s="75"/>
      <c r="BO220" s="75"/>
    </row>
    <row r="221" spans="1:67" s="4" customFormat="1" ht="31.2" x14ac:dyDescent="0.3">
      <c r="A221" s="48">
        <v>54</v>
      </c>
      <c r="B221" s="42" t="s">
        <v>359</v>
      </c>
      <c r="C221" s="48" t="s">
        <v>56</v>
      </c>
      <c r="D221" s="39">
        <v>21.05</v>
      </c>
      <c r="E221" s="39"/>
      <c r="F221" s="39">
        <v>21.05</v>
      </c>
      <c r="G221" s="39">
        <v>21.05</v>
      </c>
      <c r="H221" s="39"/>
      <c r="I221" s="39"/>
      <c r="J221" s="39">
        <f t="shared" si="30"/>
        <v>0</v>
      </c>
      <c r="K221" s="42" t="s">
        <v>445</v>
      </c>
      <c r="L221" s="42" t="s">
        <v>415</v>
      </c>
      <c r="M221" s="43">
        <v>35</v>
      </c>
      <c r="N221" s="210">
        <v>198</v>
      </c>
      <c r="O221" s="43"/>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78">
        <f t="shared" si="28"/>
        <v>0</v>
      </c>
      <c r="BK221" s="84"/>
      <c r="BL221" s="44">
        <v>18</v>
      </c>
      <c r="BM221" s="79">
        <f t="shared" si="29"/>
        <v>0</v>
      </c>
      <c r="BN221" s="75"/>
      <c r="BO221" s="75"/>
    </row>
    <row r="222" spans="1:67" s="4" customFormat="1" x14ac:dyDescent="0.3">
      <c r="A222" s="48">
        <v>55</v>
      </c>
      <c r="B222" s="42" t="s">
        <v>359</v>
      </c>
      <c r="C222" s="48" t="s">
        <v>56</v>
      </c>
      <c r="D222" s="39">
        <v>2.95</v>
      </c>
      <c r="E222" s="39"/>
      <c r="F222" s="39">
        <v>2.95</v>
      </c>
      <c r="G222" s="39">
        <f>D222-Z222-AA222</f>
        <v>1.8800000000000003</v>
      </c>
      <c r="H222" s="39"/>
      <c r="I222" s="39"/>
      <c r="J222" s="39">
        <f t="shared" si="30"/>
        <v>1.07</v>
      </c>
      <c r="K222" s="42" t="s">
        <v>418</v>
      </c>
      <c r="L222" s="42" t="s">
        <v>415</v>
      </c>
      <c r="M222" s="43">
        <v>34</v>
      </c>
      <c r="N222" s="210">
        <v>199</v>
      </c>
      <c r="O222" s="43"/>
      <c r="P222" s="84"/>
      <c r="Q222" s="84"/>
      <c r="R222" s="84"/>
      <c r="S222" s="84"/>
      <c r="T222" s="84"/>
      <c r="U222" s="84"/>
      <c r="V222" s="84"/>
      <c r="W222" s="84"/>
      <c r="X222" s="84"/>
      <c r="Y222" s="84"/>
      <c r="Z222" s="84">
        <v>0.19</v>
      </c>
      <c r="AA222" s="84">
        <f>0.46+0.3+0.12</f>
        <v>0.88</v>
      </c>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78">
        <f t="shared" si="28"/>
        <v>0</v>
      </c>
      <c r="BK222" s="84"/>
      <c r="BL222" s="44">
        <v>18</v>
      </c>
      <c r="BM222" s="79">
        <f t="shared" si="29"/>
        <v>0</v>
      </c>
      <c r="BN222" s="75"/>
      <c r="BO222" s="75"/>
    </row>
    <row r="223" spans="1:67" s="4" customFormat="1" ht="78" x14ac:dyDescent="0.3">
      <c r="A223" s="48">
        <v>56</v>
      </c>
      <c r="B223" s="42" t="s">
        <v>339</v>
      </c>
      <c r="C223" s="43" t="s">
        <v>56</v>
      </c>
      <c r="D223" s="41">
        <f>15.15-3.93</f>
        <v>11.22</v>
      </c>
      <c r="E223" s="41"/>
      <c r="F223" s="41">
        <f>15.15-3.93</f>
        <v>11.22</v>
      </c>
      <c r="G223" s="41">
        <f>14.09-3.93</f>
        <v>10.16</v>
      </c>
      <c r="H223" s="41"/>
      <c r="I223" s="41"/>
      <c r="J223" s="41">
        <v>1.06</v>
      </c>
      <c r="K223" s="42" t="s">
        <v>863</v>
      </c>
      <c r="L223" s="42" t="s">
        <v>688</v>
      </c>
      <c r="M223" s="43">
        <v>11</v>
      </c>
      <c r="N223" s="210">
        <v>200</v>
      </c>
      <c r="O223" s="43" t="s">
        <v>1191</v>
      </c>
      <c r="P223" s="97"/>
      <c r="Q223" s="97"/>
      <c r="R223" s="97"/>
      <c r="S223" s="97"/>
      <c r="T223" s="97"/>
      <c r="U223" s="97"/>
      <c r="V223" s="97"/>
      <c r="W223" s="97"/>
      <c r="X223" s="97"/>
      <c r="Y223" s="97"/>
      <c r="Z223" s="97">
        <v>0.26</v>
      </c>
      <c r="AA223" s="97"/>
      <c r="AB223" s="97"/>
      <c r="AC223" s="97"/>
      <c r="AD223" s="97"/>
      <c r="AE223" s="97"/>
      <c r="AF223" s="97"/>
      <c r="AG223" s="97"/>
      <c r="AH223" s="97"/>
      <c r="AI223" s="97"/>
      <c r="AJ223" s="97"/>
      <c r="AK223" s="97"/>
      <c r="AL223" s="97"/>
      <c r="AM223" s="97"/>
      <c r="AN223" s="97"/>
      <c r="AO223" s="100"/>
      <c r="AP223" s="97"/>
      <c r="AQ223" s="97">
        <v>0.65</v>
      </c>
      <c r="AR223" s="97"/>
      <c r="AS223" s="97"/>
      <c r="AT223" s="97"/>
      <c r="AU223" s="97"/>
      <c r="AV223" s="97"/>
      <c r="AW223" s="97"/>
      <c r="AX223" s="97"/>
      <c r="AY223" s="97"/>
      <c r="AZ223" s="97"/>
      <c r="BA223" s="97"/>
      <c r="BB223" s="97"/>
      <c r="BC223" s="97"/>
      <c r="BD223" s="97"/>
      <c r="BE223" s="97">
        <v>0.15</v>
      </c>
      <c r="BF223" s="97"/>
      <c r="BG223" s="97"/>
      <c r="BH223" s="97"/>
      <c r="BI223" s="97"/>
      <c r="BJ223" s="78">
        <f t="shared" si="28"/>
        <v>0</v>
      </c>
      <c r="BK223" s="97"/>
      <c r="BL223" s="97">
        <v>18</v>
      </c>
      <c r="BM223" s="79">
        <f t="shared" si="29"/>
        <v>0</v>
      </c>
      <c r="BN223" s="75"/>
      <c r="BO223" s="75"/>
    </row>
    <row r="224" spans="1:67" s="4" customFormat="1" x14ac:dyDescent="0.3">
      <c r="A224" s="48">
        <v>57</v>
      </c>
      <c r="B224" s="42" t="s">
        <v>339</v>
      </c>
      <c r="C224" s="43" t="s">
        <v>56</v>
      </c>
      <c r="D224" s="41">
        <v>5.51</v>
      </c>
      <c r="E224" s="41"/>
      <c r="F224" s="41">
        <v>5.51</v>
      </c>
      <c r="G224" s="41">
        <v>3.87</v>
      </c>
      <c r="H224" s="41"/>
      <c r="I224" s="41"/>
      <c r="J224" s="41">
        <v>1.64</v>
      </c>
      <c r="K224" s="42" t="s">
        <v>988</v>
      </c>
      <c r="L224" s="42" t="s">
        <v>688</v>
      </c>
      <c r="M224" s="43">
        <v>12</v>
      </c>
      <c r="N224" s="210">
        <v>201</v>
      </c>
      <c r="O224" s="43"/>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49">
        <v>1.64</v>
      </c>
      <c r="BF224" s="97"/>
      <c r="BG224" s="97"/>
      <c r="BH224" s="97"/>
      <c r="BI224" s="97"/>
      <c r="BJ224" s="78">
        <f t="shared" si="28"/>
        <v>0</v>
      </c>
      <c r="BK224" s="97"/>
      <c r="BL224" s="97">
        <v>18</v>
      </c>
      <c r="BM224" s="79">
        <f t="shared" si="29"/>
        <v>0</v>
      </c>
      <c r="BN224" s="75"/>
      <c r="BO224" s="75"/>
    </row>
    <row r="225" spans="1:67" ht="31.2" x14ac:dyDescent="0.3">
      <c r="A225" s="76" t="s">
        <v>614</v>
      </c>
      <c r="B225" s="77" t="s">
        <v>615</v>
      </c>
      <c r="C225" s="80" t="s">
        <v>57</v>
      </c>
      <c r="D225" s="85">
        <f>SUM(D226:D239)</f>
        <v>54.589999999999996</v>
      </c>
      <c r="E225" s="85">
        <f t="shared" ref="E225:BH225" si="31">SUM(E226:E239)</f>
        <v>0</v>
      </c>
      <c r="F225" s="85">
        <f t="shared" si="31"/>
        <v>54.589999999999996</v>
      </c>
      <c r="G225" s="85">
        <f t="shared" si="31"/>
        <v>28.4</v>
      </c>
      <c r="H225" s="85">
        <f t="shared" si="31"/>
        <v>0</v>
      </c>
      <c r="I225" s="85">
        <f t="shared" si="31"/>
        <v>0</v>
      </c>
      <c r="J225" s="85">
        <f t="shared" si="31"/>
        <v>26.190000000000005</v>
      </c>
      <c r="K225" s="86">
        <f t="shared" si="31"/>
        <v>0</v>
      </c>
      <c r="L225" s="86">
        <f t="shared" si="31"/>
        <v>0</v>
      </c>
      <c r="M225" s="85"/>
      <c r="N225" s="85"/>
      <c r="O225" s="85"/>
      <c r="P225" s="85">
        <f t="shared" si="31"/>
        <v>0</v>
      </c>
      <c r="Q225" s="85">
        <f t="shared" si="31"/>
        <v>0</v>
      </c>
      <c r="R225" s="85">
        <f t="shared" si="31"/>
        <v>0</v>
      </c>
      <c r="S225" s="85">
        <f t="shared" si="31"/>
        <v>0</v>
      </c>
      <c r="T225" s="85">
        <f t="shared" si="31"/>
        <v>0</v>
      </c>
      <c r="U225" s="85">
        <f t="shared" si="31"/>
        <v>0</v>
      </c>
      <c r="V225" s="85">
        <f t="shared" si="31"/>
        <v>0</v>
      </c>
      <c r="W225" s="85">
        <f t="shared" si="31"/>
        <v>0</v>
      </c>
      <c r="X225" s="85">
        <f t="shared" si="31"/>
        <v>14.52</v>
      </c>
      <c r="Y225" s="85">
        <f t="shared" si="31"/>
        <v>0</v>
      </c>
      <c r="Z225" s="85">
        <f t="shared" si="31"/>
        <v>2.99</v>
      </c>
      <c r="AA225" s="85">
        <f t="shared" si="31"/>
        <v>0</v>
      </c>
      <c r="AB225" s="85">
        <f t="shared" si="31"/>
        <v>0</v>
      </c>
      <c r="AC225" s="85">
        <f t="shared" si="31"/>
        <v>0</v>
      </c>
      <c r="AD225" s="85">
        <f t="shared" si="31"/>
        <v>0</v>
      </c>
      <c r="AE225" s="85">
        <f t="shared" si="31"/>
        <v>0</v>
      </c>
      <c r="AF225" s="85">
        <f t="shared" si="31"/>
        <v>0</v>
      </c>
      <c r="AG225" s="85">
        <f t="shared" si="31"/>
        <v>0</v>
      </c>
      <c r="AH225" s="85">
        <f t="shared" si="31"/>
        <v>0</v>
      </c>
      <c r="AI225" s="85">
        <f t="shared" si="31"/>
        <v>0</v>
      </c>
      <c r="AJ225" s="85">
        <f t="shared" si="31"/>
        <v>0</v>
      </c>
      <c r="AK225" s="85">
        <f t="shared" si="31"/>
        <v>0</v>
      </c>
      <c r="AL225" s="85">
        <f t="shared" si="31"/>
        <v>0</v>
      </c>
      <c r="AM225" s="85">
        <f t="shared" si="31"/>
        <v>0</v>
      </c>
      <c r="AN225" s="85">
        <f t="shared" si="31"/>
        <v>0</v>
      </c>
      <c r="AO225" s="85">
        <f t="shared" si="31"/>
        <v>0</v>
      </c>
      <c r="AP225" s="85">
        <f t="shared" si="31"/>
        <v>0</v>
      </c>
      <c r="AQ225" s="85">
        <f t="shared" si="31"/>
        <v>0</v>
      </c>
      <c r="AR225" s="85">
        <f t="shared" si="31"/>
        <v>4.49</v>
      </c>
      <c r="AS225" s="85">
        <f t="shared" si="31"/>
        <v>0</v>
      </c>
      <c r="AT225" s="85">
        <f t="shared" si="31"/>
        <v>0</v>
      </c>
      <c r="AU225" s="85">
        <f t="shared" si="31"/>
        <v>0</v>
      </c>
      <c r="AV225" s="85">
        <f t="shared" si="31"/>
        <v>0</v>
      </c>
      <c r="AW225" s="85">
        <f t="shared" si="31"/>
        <v>0</v>
      </c>
      <c r="AX225" s="85">
        <f t="shared" si="31"/>
        <v>0</v>
      </c>
      <c r="AY225" s="85">
        <f t="shared" si="31"/>
        <v>0</v>
      </c>
      <c r="AZ225" s="85">
        <f t="shared" si="31"/>
        <v>0</v>
      </c>
      <c r="BA225" s="85">
        <f t="shared" si="31"/>
        <v>0</v>
      </c>
      <c r="BB225" s="85">
        <f t="shared" si="31"/>
        <v>0</v>
      </c>
      <c r="BC225" s="85">
        <f t="shared" si="31"/>
        <v>0</v>
      </c>
      <c r="BD225" s="85">
        <f t="shared" si="31"/>
        <v>0.5</v>
      </c>
      <c r="BE225" s="85">
        <f t="shared" si="31"/>
        <v>3.6900000000000004</v>
      </c>
      <c r="BF225" s="85">
        <f t="shared" si="31"/>
        <v>0</v>
      </c>
      <c r="BG225" s="85">
        <f t="shared" si="31"/>
        <v>0</v>
      </c>
      <c r="BH225" s="85">
        <f t="shared" si="31"/>
        <v>0</v>
      </c>
      <c r="BI225" s="85"/>
      <c r="BJ225" s="78">
        <f t="shared" si="28"/>
        <v>0</v>
      </c>
      <c r="BK225" s="84"/>
      <c r="BL225" s="44">
        <v>19</v>
      </c>
      <c r="BM225" s="79">
        <f t="shared" si="29"/>
        <v>0</v>
      </c>
      <c r="BN225" s="75"/>
      <c r="BO225" s="75"/>
    </row>
    <row r="226" spans="1:67" s="4" customFormat="1" ht="46.8" x14ac:dyDescent="0.3">
      <c r="A226" s="48">
        <v>1</v>
      </c>
      <c r="B226" s="42" t="s">
        <v>66</v>
      </c>
      <c r="C226" s="43" t="s">
        <v>57</v>
      </c>
      <c r="D226" s="108">
        <v>7</v>
      </c>
      <c r="E226" s="41"/>
      <c r="F226" s="41">
        <v>7</v>
      </c>
      <c r="G226" s="41"/>
      <c r="H226" s="41"/>
      <c r="I226" s="39"/>
      <c r="J226" s="41">
        <f>SUM(V226:BG226)</f>
        <v>7</v>
      </c>
      <c r="K226" s="42" t="s">
        <v>895</v>
      </c>
      <c r="L226" s="42" t="s">
        <v>58</v>
      </c>
      <c r="M226" s="43">
        <v>34</v>
      </c>
      <c r="N226" s="210">
        <v>202</v>
      </c>
      <c r="O226" s="43"/>
      <c r="P226" s="84"/>
      <c r="Q226" s="44"/>
      <c r="R226" s="44"/>
      <c r="S226" s="44"/>
      <c r="T226" s="44"/>
      <c r="U226" s="44"/>
      <c r="V226" s="44"/>
      <c r="W226" s="44"/>
      <c r="X226" s="139">
        <v>7</v>
      </c>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78">
        <f t="shared" ref="BJ226:BJ247" si="32">D226-E226-F226</f>
        <v>0</v>
      </c>
      <c r="BK226" s="84"/>
      <c r="BL226" s="44">
        <v>19</v>
      </c>
      <c r="BM226" s="79">
        <f t="shared" si="29"/>
        <v>0</v>
      </c>
      <c r="BN226" s="75"/>
      <c r="BO226" s="75"/>
    </row>
    <row r="227" spans="1:67" s="4" customFormat="1" ht="31.2" x14ac:dyDescent="0.3">
      <c r="A227" s="48">
        <v>2</v>
      </c>
      <c r="B227" s="42" t="s">
        <v>551</v>
      </c>
      <c r="C227" s="43" t="s">
        <v>57</v>
      </c>
      <c r="D227" s="39">
        <v>7.76</v>
      </c>
      <c r="E227" s="39"/>
      <c r="F227" s="39">
        <v>7.76</v>
      </c>
      <c r="G227" s="39">
        <v>7.52</v>
      </c>
      <c r="H227" s="39"/>
      <c r="I227" s="39"/>
      <c r="J227" s="39">
        <v>0.24</v>
      </c>
      <c r="K227" s="42" t="s">
        <v>936</v>
      </c>
      <c r="L227" s="117" t="s">
        <v>67</v>
      </c>
      <c r="M227" s="43">
        <v>56</v>
      </c>
      <c r="N227" s="210">
        <v>203</v>
      </c>
      <c r="O227" s="43"/>
      <c r="P227" s="48"/>
      <c r="Q227" s="48"/>
      <c r="R227" s="48"/>
      <c r="S227" s="48"/>
      <c r="T227" s="48"/>
      <c r="U227" s="48"/>
      <c r="V227" s="48"/>
      <c r="W227" s="48"/>
      <c r="X227" s="48"/>
      <c r="Y227" s="48"/>
      <c r="Z227" s="48">
        <v>0.24</v>
      </c>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78">
        <f t="shared" si="32"/>
        <v>0</v>
      </c>
      <c r="BK227" s="115"/>
      <c r="BL227" s="44">
        <v>19</v>
      </c>
      <c r="BM227" s="79">
        <f t="shared" si="29"/>
        <v>0</v>
      </c>
      <c r="BN227" s="75"/>
      <c r="BO227" s="75"/>
    </row>
    <row r="228" spans="1:67" s="4" customFormat="1" x14ac:dyDescent="0.3">
      <c r="A228" s="48">
        <v>3</v>
      </c>
      <c r="B228" s="42" t="s">
        <v>552</v>
      </c>
      <c r="C228" s="48" t="s">
        <v>57</v>
      </c>
      <c r="D228" s="39">
        <v>3</v>
      </c>
      <c r="E228" s="39"/>
      <c r="F228" s="39">
        <v>3</v>
      </c>
      <c r="G228" s="39">
        <v>3</v>
      </c>
      <c r="H228" s="41"/>
      <c r="I228" s="39"/>
      <c r="J228" s="39"/>
      <c r="K228" s="42" t="s">
        <v>878</v>
      </c>
      <c r="L228" s="42" t="s">
        <v>91</v>
      </c>
      <c r="M228" s="44">
        <v>21</v>
      </c>
      <c r="N228" s="209">
        <v>204</v>
      </c>
      <c r="O228" s="44"/>
      <c r="P228" s="105"/>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78">
        <f t="shared" si="32"/>
        <v>0</v>
      </c>
      <c r="BK228" s="84"/>
      <c r="BL228" s="44">
        <v>19</v>
      </c>
      <c r="BM228" s="79">
        <f t="shared" si="29"/>
        <v>0</v>
      </c>
      <c r="BN228" s="75"/>
      <c r="BO228" s="75"/>
    </row>
    <row r="229" spans="1:67" s="4" customFormat="1" x14ac:dyDescent="0.3">
      <c r="A229" s="48">
        <v>4</v>
      </c>
      <c r="B229" s="42" t="s">
        <v>550</v>
      </c>
      <c r="C229" s="39" t="s">
        <v>57</v>
      </c>
      <c r="D229" s="41">
        <v>0.5</v>
      </c>
      <c r="E229" s="41"/>
      <c r="F229" s="41">
        <v>0.5</v>
      </c>
      <c r="G229" s="39"/>
      <c r="H229" s="39"/>
      <c r="I229" s="39"/>
      <c r="J229" s="39">
        <v>0.5</v>
      </c>
      <c r="K229" s="50" t="s">
        <v>159</v>
      </c>
      <c r="L229" s="50" t="s">
        <v>154</v>
      </c>
      <c r="M229" s="110">
        <v>13</v>
      </c>
      <c r="N229" s="211">
        <v>205</v>
      </c>
      <c r="O229" s="110"/>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v>0.5</v>
      </c>
      <c r="BE229" s="39"/>
      <c r="BF229" s="39"/>
      <c r="BG229" s="39"/>
      <c r="BH229" s="39"/>
      <c r="BI229" s="39"/>
      <c r="BJ229" s="78">
        <f t="shared" si="32"/>
        <v>0</v>
      </c>
      <c r="BK229" s="39"/>
      <c r="BL229" s="44">
        <v>19</v>
      </c>
      <c r="BM229" s="79">
        <f t="shared" si="29"/>
        <v>0</v>
      </c>
      <c r="BN229" s="75"/>
      <c r="BO229" s="75"/>
    </row>
    <row r="230" spans="1:67" s="4" customFormat="1" x14ac:dyDescent="0.3">
      <c r="A230" s="48">
        <v>5</v>
      </c>
      <c r="B230" s="42" t="s">
        <v>553</v>
      </c>
      <c r="C230" s="48" t="s">
        <v>57</v>
      </c>
      <c r="D230" s="39">
        <v>2.66</v>
      </c>
      <c r="E230" s="39"/>
      <c r="F230" s="39">
        <v>2.66</v>
      </c>
      <c r="G230" s="39"/>
      <c r="H230" s="41"/>
      <c r="I230" s="39"/>
      <c r="J230" s="39">
        <v>2.66</v>
      </c>
      <c r="K230" s="42" t="s">
        <v>893</v>
      </c>
      <c r="L230" s="42" t="s">
        <v>93</v>
      </c>
      <c r="M230" s="48">
        <v>34</v>
      </c>
      <c r="N230" s="206">
        <v>206</v>
      </c>
      <c r="O230" s="48"/>
      <c r="P230" s="48"/>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v>2.66</v>
      </c>
      <c r="BF230" s="84"/>
      <c r="BG230" s="84"/>
      <c r="BH230" s="84"/>
      <c r="BI230" s="84"/>
      <c r="BJ230" s="78">
        <f t="shared" si="32"/>
        <v>0</v>
      </c>
      <c r="BK230" s="84"/>
      <c r="BL230" s="44">
        <v>19</v>
      </c>
      <c r="BM230" s="79">
        <f t="shared" si="29"/>
        <v>0</v>
      </c>
      <c r="BN230" s="75"/>
      <c r="BO230" s="75"/>
    </row>
    <row r="231" spans="1:67" s="4" customFormat="1" ht="31.2" x14ac:dyDescent="0.3">
      <c r="A231" s="48">
        <v>6</v>
      </c>
      <c r="B231" s="50" t="s">
        <v>554</v>
      </c>
      <c r="C231" s="39" t="s">
        <v>57</v>
      </c>
      <c r="D231" s="39">
        <v>2</v>
      </c>
      <c r="E231" s="39"/>
      <c r="F231" s="39">
        <v>2</v>
      </c>
      <c r="G231" s="39">
        <v>2</v>
      </c>
      <c r="H231" s="39"/>
      <c r="I231" s="39"/>
      <c r="J231" s="39">
        <v>0</v>
      </c>
      <c r="K231" s="50" t="s">
        <v>1027</v>
      </c>
      <c r="L231" s="50" t="s">
        <v>179</v>
      </c>
      <c r="M231" s="110">
        <v>14</v>
      </c>
      <c r="N231" s="211">
        <v>207</v>
      </c>
      <c r="O231" s="110"/>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78">
        <f t="shared" si="32"/>
        <v>0</v>
      </c>
      <c r="BK231" s="84"/>
      <c r="BL231" s="44">
        <v>19</v>
      </c>
      <c r="BM231" s="79">
        <f t="shared" si="29"/>
        <v>0</v>
      </c>
      <c r="BN231" s="75"/>
      <c r="BO231" s="75"/>
    </row>
    <row r="232" spans="1:67" s="4" customFormat="1" ht="36.75" customHeight="1" x14ac:dyDescent="0.3">
      <c r="A232" s="48">
        <v>7</v>
      </c>
      <c r="B232" s="42" t="s">
        <v>550</v>
      </c>
      <c r="C232" s="48" t="s">
        <v>57</v>
      </c>
      <c r="D232" s="41">
        <v>6.56</v>
      </c>
      <c r="E232" s="41"/>
      <c r="F232" s="41">
        <v>6.56</v>
      </c>
      <c r="G232" s="39"/>
      <c r="H232" s="39"/>
      <c r="I232" s="39"/>
      <c r="J232" s="39">
        <v>6.56</v>
      </c>
      <c r="K232" s="42" t="s">
        <v>247</v>
      </c>
      <c r="L232" s="42" t="s">
        <v>247</v>
      </c>
      <c r="M232" s="48">
        <v>2</v>
      </c>
      <c r="N232" s="206">
        <v>208</v>
      </c>
      <c r="O232" s="42" t="s">
        <v>1192</v>
      </c>
      <c r="P232" s="84"/>
      <c r="Q232" s="84"/>
      <c r="R232" s="84"/>
      <c r="S232" s="84"/>
      <c r="T232" s="84"/>
      <c r="U232" s="84"/>
      <c r="V232" s="84"/>
      <c r="W232" s="84"/>
      <c r="X232" s="84">
        <v>6.56</v>
      </c>
      <c r="Y232" s="84"/>
      <c r="Z232" s="84"/>
      <c r="AA232" s="84"/>
      <c r="AB232" s="84"/>
      <c r="AC232" s="84"/>
      <c r="AD232" s="84"/>
      <c r="AE232" s="84"/>
      <c r="AF232" s="84"/>
      <c r="AG232" s="118"/>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78">
        <f t="shared" si="32"/>
        <v>0</v>
      </c>
      <c r="BK232" s="84"/>
      <c r="BL232" s="44">
        <v>19</v>
      </c>
      <c r="BM232" s="79">
        <f t="shared" si="29"/>
        <v>0</v>
      </c>
      <c r="BN232" s="75"/>
      <c r="BO232" s="75"/>
    </row>
    <row r="233" spans="1:67" s="4" customFormat="1" ht="30.75" customHeight="1" x14ac:dyDescent="0.3">
      <c r="A233" s="48">
        <v>8</v>
      </c>
      <c r="B233" s="42" t="s">
        <v>550</v>
      </c>
      <c r="C233" s="48" t="s">
        <v>57</v>
      </c>
      <c r="D233" s="39">
        <v>7.37</v>
      </c>
      <c r="E233" s="39"/>
      <c r="F233" s="39">
        <v>7.37</v>
      </c>
      <c r="G233" s="39">
        <v>6.41</v>
      </c>
      <c r="H233" s="39"/>
      <c r="I233" s="39"/>
      <c r="J233" s="39">
        <v>0.96</v>
      </c>
      <c r="K233" s="42" t="s">
        <v>989</v>
      </c>
      <c r="L233" s="42" t="s">
        <v>233</v>
      </c>
      <c r="M233" s="44">
        <v>10</v>
      </c>
      <c r="N233" s="209">
        <v>209</v>
      </c>
      <c r="O233" s="44"/>
      <c r="P233" s="84"/>
      <c r="Q233" s="84"/>
      <c r="R233" s="84"/>
      <c r="S233" s="84"/>
      <c r="T233" s="84"/>
      <c r="U233" s="84"/>
      <c r="V233" s="118"/>
      <c r="W233" s="84"/>
      <c r="X233" s="84">
        <v>0.96</v>
      </c>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78">
        <f t="shared" si="32"/>
        <v>0</v>
      </c>
      <c r="BK233" s="97"/>
      <c r="BL233" s="44">
        <v>19</v>
      </c>
      <c r="BM233" s="79">
        <f t="shared" si="29"/>
        <v>0</v>
      </c>
      <c r="BN233" s="75"/>
      <c r="BO233" s="75"/>
    </row>
    <row r="234" spans="1:67" s="4" customFormat="1" x14ac:dyDescent="0.3">
      <c r="A234" s="48">
        <v>9</v>
      </c>
      <c r="B234" s="102" t="s">
        <v>288</v>
      </c>
      <c r="C234" s="43" t="s">
        <v>57</v>
      </c>
      <c r="D234" s="41">
        <v>4.49</v>
      </c>
      <c r="E234" s="41"/>
      <c r="F234" s="41">
        <v>4.49</v>
      </c>
      <c r="G234" s="39">
        <v>0</v>
      </c>
      <c r="H234" s="39"/>
      <c r="I234" s="39"/>
      <c r="J234" s="39">
        <v>4.49</v>
      </c>
      <c r="K234" s="42" t="s">
        <v>968</v>
      </c>
      <c r="L234" s="42" t="s">
        <v>280</v>
      </c>
      <c r="M234" s="43">
        <v>17</v>
      </c>
      <c r="N234" s="210">
        <v>210</v>
      </c>
      <c r="O234" s="43"/>
      <c r="P234" s="84"/>
      <c r="Q234" s="84"/>
      <c r="R234" s="84"/>
      <c r="S234" s="84"/>
      <c r="T234" s="84"/>
      <c r="U234" s="84"/>
      <c r="V234" s="84"/>
      <c r="W234" s="84"/>
      <c r="X234" s="84"/>
      <c r="Y234" s="84"/>
      <c r="Z234" s="84"/>
      <c r="AA234" s="84"/>
      <c r="AB234" s="84"/>
      <c r="AC234" s="84"/>
      <c r="AD234" s="84"/>
      <c r="AE234" s="84"/>
      <c r="AF234" s="84"/>
      <c r="AG234" s="118"/>
      <c r="AH234" s="84"/>
      <c r="AI234" s="84"/>
      <c r="AJ234" s="84"/>
      <c r="AK234" s="84"/>
      <c r="AL234" s="84"/>
      <c r="AM234" s="84"/>
      <c r="AN234" s="84"/>
      <c r="AO234" s="84"/>
      <c r="AP234" s="84"/>
      <c r="AQ234" s="84"/>
      <c r="AR234" s="84">
        <v>4.49</v>
      </c>
      <c r="AS234" s="84"/>
      <c r="AT234" s="84"/>
      <c r="AU234" s="84"/>
      <c r="AV234" s="84"/>
      <c r="AW234" s="84"/>
      <c r="AX234" s="84"/>
      <c r="AY234" s="84"/>
      <c r="AZ234" s="84"/>
      <c r="BA234" s="84"/>
      <c r="BB234" s="84"/>
      <c r="BC234" s="84"/>
      <c r="BD234" s="84"/>
      <c r="BE234" s="84"/>
      <c r="BF234" s="84"/>
      <c r="BG234" s="84"/>
      <c r="BH234" s="84"/>
      <c r="BI234" s="84"/>
      <c r="BJ234" s="78">
        <f t="shared" si="32"/>
        <v>0</v>
      </c>
      <c r="BK234" s="84"/>
      <c r="BL234" s="44">
        <v>19</v>
      </c>
      <c r="BM234" s="79">
        <f t="shared" si="29"/>
        <v>0</v>
      </c>
      <c r="BN234" s="75"/>
      <c r="BO234" s="75"/>
    </row>
    <row r="235" spans="1:67" s="4" customFormat="1" ht="31.2" x14ac:dyDescent="0.3">
      <c r="A235" s="48">
        <v>10</v>
      </c>
      <c r="B235" s="42" t="s">
        <v>549</v>
      </c>
      <c r="C235" s="43" t="s">
        <v>57</v>
      </c>
      <c r="D235" s="41">
        <v>1.97</v>
      </c>
      <c r="E235" s="41"/>
      <c r="F235" s="41">
        <v>1.97</v>
      </c>
      <c r="G235" s="39">
        <v>1.97</v>
      </c>
      <c r="H235" s="39"/>
      <c r="I235" s="39"/>
      <c r="J235" s="39"/>
      <c r="K235" s="42" t="s">
        <v>370</v>
      </c>
      <c r="L235" s="42" t="s">
        <v>285</v>
      </c>
      <c r="M235" s="48">
        <v>18</v>
      </c>
      <c r="N235" s="206">
        <v>211</v>
      </c>
      <c r="O235" s="48"/>
      <c r="P235" s="84"/>
      <c r="Q235" s="84"/>
      <c r="R235" s="84"/>
      <c r="S235" s="84"/>
      <c r="T235" s="84"/>
      <c r="U235" s="84"/>
      <c r="V235" s="84"/>
      <c r="W235" s="84"/>
      <c r="X235" s="84"/>
      <c r="Y235" s="84"/>
      <c r="Z235" s="84"/>
      <c r="AA235" s="84"/>
      <c r="AB235" s="84"/>
      <c r="AC235" s="84"/>
      <c r="AD235" s="84"/>
      <c r="AE235" s="84"/>
      <c r="AF235" s="84"/>
      <c r="AG235" s="118"/>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78">
        <f t="shared" si="32"/>
        <v>0</v>
      </c>
      <c r="BK235" s="84"/>
      <c r="BL235" s="44">
        <v>19</v>
      </c>
      <c r="BM235" s="79">
        <f t="shared" si="29"/>
        <v>0</v>
      </c>
      <c r="BN235" s="75"/>
      <c r="BO235" s="75"/>
    </row>
    <row r="236" spans="1:67" s="4" customFormat="1" x14ac:dyDescent="0.3">
      <c r="A236" s="48">
        <v>11</v>
      </c>
      <c r="B236" s="102" t="s">
        <v>288</v>
      </c>
      <c r="C236" s="95" t="s">
        <v>57</v>
      </c>
      <c r="D236" s="41">
        <v>1</v>
      </c>
      <c r="E236" s="41"/>
      <c r="F236" s="41">
        <v>1</v>
      </c>
      <c r="G236" s="39">
        <v>1</v>
      </c>
      <c r="H236" s="39"/>
      <c r="I236" s="39"/>
      <c r="J236" s="39">
        <v>0</v>
      </c>
      <c r="K236" s="102" t="s">
        <v>990</v>
      </c>
      <c r="L236" s="42" t="s">
        <v>285</v>
      </c>
      <c r="M236" s="48">
        <v>14</v>
      </c>
      <c r="N236" s="206">
        <v>212</v>
      </c>
      <c r="O236" s="48"/>
      <c r="P236" s="84"/>
      <c r="Q236" s="84"/>
      <c r="R236" s="84"/>
      <c r="S236" s="84"/>
      <c r="T236" s="84"/>
      <c r="U236" s="84"/>
      <c r="V236" s="84"/>
      <c r="W236" s="84"/>
      <c r="X236" s="84"/>
      <c r="Y236" s="84"/>
      <c r="Z236" s="84"/>
      <c r="AA236" s="84"/>
      <c r="AB236" s="84"/>
      <c r="AC236" s="84"/>
      <c r="AD236" s="84"/>
      <c r="AE236" s="84"/>
      <c r="AF236" s="84"/>
      <c r="AG236" s="118"/>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78">
        <f t="shared" si="32"/>
        <v>0</v>
      </c>
      <c r="BK236" s="84"/>
      <c r="BL236" s="44">
        <v>19</v>
      </c>
      <c r="BM236" s="79">
        <f t="shared" si="29"/>
        <v>0</v>
      </c>
      <c r="BN236" s="75"/>
      <c r="BO236" s="75"/>
    </row>
    <row r="237" spans="1:67" s="4" customFormat="1" ht="31.2" x14ac:dyDescent="0.3">
      <c r="A237" s="48">
        <v>12</v>
      </c>
      <c r="B237" s="42" t="s">
        <v>735</v>
      </c>
      <c r="C237" s="95" t="s">
        <v>57</v>
      </c>
      <c r="D237" s="41">
        <v>2.75</v>
      </c>
      <c r="E237" s="41"/>
      <c r="F237" s="41">
        <v>2.75</v>
      </c>
      <c r="G237" s="41"/>
      <c r="H237" s="41"/>
      <c r="I237" s="41"/>
      <c r="J237" s="41">
        <v>2.75</v>
      </c>
      <c r="K237" s="42" t="s">
        <v>991</v>
      </c>
      <c r="L237" s="42" t="s">
        <v>688</v>
      </c>
      <c r="M237" s="95">
        <v>38</v>
      </c>
      <c r="N237" s="212">
        <v>213</v>
      </c>
      <c r="O237" s="95"/>
      <c r="P237" s="97"/>
      <c r="Q237" s="97"/>
      <c r="R237" s="97"/>
      <c r="S237" s="97"/>
      <c r="T237" s="97"/>
      <c r="U237" s="97"/>
      <c r="V237" s="97"/>
      <c r="W237" s="97"/>
      <c r="X237" s="97"/>
      <c r="Y237" s="97"/>
      <c r="Z237" s="97">
        <v>2.75</v>
      </c>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100"/>
      <c r="BF237" s="97"/>
      <c r="BG237" s="97"/>
      <c r="BH237" s="97"/>
      <c r="BI237" s="97"/>
      <c r="BJ237" s="78">
        <f t="shared" si="32"/>
        <v>0</v>
      </c>
      <c r="BK237" s="49"/>
      <c r="BL237" s="49">
        <v>19</v>
      </c>
      <c r="BM237" s="79">
        <f t="shared" si="29"/>
        <v>0</v>
      </c>
      <c r="BN237" s="75"/>
      <c r="BO237" s="75"/>
    </row>
    <row r="238" spans="1:67" s="4" customFormat="1" ht="54" customHeight="1" x14ac:dyDescent="0.3">
      <c r="A238" s="48">
        <v>13</v>
      </c>
      <c r="B238" s="42" t="s">
        <v>772</v>
      </c>
      <c r="C238" s="95" t="s">
        <v>57</v>
      </c>
      <c r="D238" s="41">
        <v>1.03</v>
      </c>
      <c r="E238" s="41"/>
      <c r="F238" s="41">
        <v>1.03</v>
      </c>
      <c r="G238" s="41"/>
      <c r="H238" s="41"/>
      <c r="I238" s="41"/>
      <c r="J238" s="41">
        <v>1.03</v>
      </c>
      <c r="K238" s="42"/>
      <c r="L238" s="42" t="s">
        <v>364</v>
      </c>
      <c r="M238" s="95" t="s">
        <v>804</v>
      </c>
      <c r="N238" s="212">
        <v>214</v>
      </c>
      <c r="O238" s="140" t="s">
        <v>1069</v>
      </c>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100">
        <v>1.03</v>
      </c>
      <c r="BF238" s="97"/>
      <c r="BG238" s="97"/>
      <c r="BH238" s="97"/>
      <c r="BI238" s="97"/>
      <c r="BJ238" s="78">
        <f t="shared" si="32"/>
        <v>0</v>
      </c>
      <c r="BK238" s="49"/>
      <c r="BL238" s="49"/>
      <c r="BM238" s="79">
        <f t="shared" si="29"/>
        <v>0</v>
      </c>
      <c r="BN238" s="75"/>
      <c r="BO238" s="75"/>
    </row>
    <row r="239" spans="1:67" s="4" customFormat="1" ht="43.5" customHeight="1" x14ac:dyDescent="0.3">
      <c r="A239" s="48">
        <v>14</v>
      </c>
      <c r="B239" s="50" t="s">
        <v>811</v>
      </c>
      <c r="C239" s="39" t="s">
        <v>57</v>
      </c>
      <c r="D239" s="41">
        <v>6.5</v>
      </c>
      <c r="E239" s="41"/>
      <c r="F239" s="41">
        <v>6.5</v>
      </c>
      <c r="G239" s="39">
        <v>6.5</v>
      </c>
      <c r="H239" s="39"/>
      <c r="I239" s="39"/>
      <c r="J239" s="39">
        <v>0</v>
      </c>
      <c r="K239" s="50" t="s">
        <v>209</v>
      </c>
      <c r="L239" s="50" t="s">
        <v>208</v>
      </c>
      <c r="M239" s="110">
        <v>2</v>
      </c>
      <c r="N239" s="211">
        <v>215</v>
      </c>
      <c r="O239" s="110"/>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78">
        <f t="shared" si="32"/>
        <v>0</v>
      </c>
      <c r="BK239" s="84"/>
      <c r="BL239" s="44">
        <v>18</v>
      </c>
      <c r="BM239" s="79">
        <f t="shared" si="29"/>
        <v>0</v>
      </c>
      <c r="BN239" s="75"/>
      <c r="BO239" s="75"/>
    </row>
    <row r="240" spans="1:67" x14ac:dyDescent="0.3">
      <c r="A240" s="76" t="s">
        <v>616</v>
      </c>
      <c r="B240" s="77" t="s">
        <v>617</v>
      </c>
      <c r="C240" s="98" t="s">
        <v>63</v>
      </c>
      <c r="D240" s="85">
        <f t="shared" ref="D240:L240" si="33">SUM(D241:D265)</f>
        <v>286.26</v>
      </c>
      <c r="E240" s="85">
        <f t="shared" si="33"/>
        <v>10.3</v>
      </c>
      <c r="F240" s="85">
        <f t="shared" si="33"/>
        <v>275.95999999999998</v>
      </c>
      <c r="G240" s="85">
        <f t="shared" si="33"/>
        <v>1.6</v>
      </c>
      <c r="H240" s="85">
        <f t="shared" si="33"/>
        <v>0</v>
      </c>
      <c r="I240" s="85">
        <f t="shared" si="33"/>
        <v>0</v>
      </c>
      <c r="J240" s="85">
        <f t="shared" si="33"/>
        <v>274.35999999999996</v>
      </c>
      <c r="K240" s="86">
        <f t="shared" si="33"/>
        <v>0</v>
      </c>
      <c r="L240" s="86">
        <f t="shared" si="33"/>
        <v>0</v>
      </c>
      <c r="M240" s="85"/>
      <c r="N240" s="85"/>
      <c r="O240" s="85"/>
      <c r="P240" s="85">
        <f t="shared" ref="P240:BH240" si="34">SUM(P241:P265)</f>
        <v>0</v>
      </c>
      <c r="Q240" s="85">
        <f t="shared" si="34"/>
        <v>0</v>
      </c>
      <c r="R240" s="85">
        <f t="shared" si="34"/>
        <v>0</v>
      </c>
      <c r="S240" s="85">
        <f t="shared" si="34"/>
        <v>0</v>
      </c>
      <c r="T240" s="85">
        <f t="shared" si="34"/>
        <v>0</v>
      </c>
      <c r="U240" s="85">
        <f t="shared" si="34"/>
        <v>0</v>
      </c>
      <c r="V240" s="85">
        <f t="shared" si="34"/>
        <v>0</v>
      </c>
      <c r="W240" s="85">
        <f t="shared" si="34"/>
        <v>0</v>
      </c>
      <c r="X240" s="85">
        <f t="shared" si="34"/>
        <v>235</v>
      </c>
      <c r="Y240" s="85">
        <f t="shared" si="34"/>
        <v>11.16</v>
      </c>
      <c r="Z240" s="85">
        <f t="shared" si="34"/>
        <v>0</v>
      </c>
      <c r="AA240" s="85">
        <f t="shared" si="34"/>
        <v>3.5</v>
      </c>
      <c r="AB240" s="85">
        <f t="shared" si="34"/>
        <v>0</v>
      </c>
      <c r="AC240" s="85">
        <f t="shared" si="34"/>
        <v>0</v>
      </c>
      <c r="AD240" s="85">
        <f t="shared" si="34"/>
        <v>0</v>
      </c>
      <c r="AE240" s="85">
        <f t="shared" si="34"/>
        <v>0</v>
      </c>
      <c r="AF240" s="85">
        <f t="shared" si="34"/>
        <v>0</v>
      </c>
      <c r="AG240" s="85">
        <f t="shared" si="34"/>
        <v>0</v>
      </c>
      <c r="AH240" s="85">
        <f t="shared" si="34"/>
        <v>0</v>
      </c>
      <c r="AI240" s="85">
        <f t="shared" si="34"/>
        <v>0</v>
      </c>
      <c r="AJ240" s="85">
        <f t="shared" si="34"/>
        <v>0</v>
      </c>
      <c r="AK240" s="85">
        <f t="shared" si="34"/>
        <v>0</v>
      </c>
      <c r="AL240" s="85">
        <f t="shared" si="34"/>
        <v>0</v>
      </c>
      <c r="AM240" s="85">
        <f t="shared" si="34"/>
        <v>0</v>
      </c>
      <c r="AN240" s="85">
        <f t="shared" si="34"/>
        <v>0</v>
      </c>
      <c r="AO240" s="85">
        <f t="shared" si="34"/>
        <v>0</v>
      </c>
      <c r="AP240" s="85">
        <f t="shared" si="34"/>
        <v>0</v>
      </c>
      <c r="AQ240" s="85">
        <f t="shared" si="34"/>
        <v>0</v>
      </c>
      <c r="AR240" s="85">
        <f t="shared" si="34"/>
        <v>0</v>
      </c>
      <c r="AS240" s="85">
        <f t="shared" si="34"/>
        <v>0</v>
      </c>
      <c r="AT240" s="85">
        <f t="shared" si="34"/>
        <v>0</v>
      </c>
      <c r="AU240" s="85">
        <f t="shared" si="34"/>
        <v>0</v>
      </c>
      <c r="AV240" s="85">
        <f t="shared" si="34"/>
        <v>0</v>
      </c>
      <c r="AW240" s="85">
        <f t="shared" si="34"/>
        <v>0</v>
      </c>
      <c r="AX240" s="85">
        <f t="shared" si="34"/>
        <v>0</v>
      </c>
      <c r="AY240" s="85">
        <f t="shared" si="34"/>
        <v>0</v>
      </c>
      <c r="AZ240" s="85">
        <f t="shared" si="34"/>
        <v>0</v>
      </c>
      <c r="BA240" s="85">
        <f t="shared" si="34"/>
        <v>0</v>
      </c>
      <c r="BB240" s="85">
        <f t="shared" si="34"/>
        <v>0</v>
      </c>
      <c r="BC240" s="85">
        <f t="shared" si="34"/>
        <v>0</v>
      </c>
      <c r="BD240" s="85">
        <f t="shared" si="34"/>
        <v>0</v>
      </c>
      <c r="BE240" s="85">
        <f t="shared" si="34"/>
        <v>24.7</v>
      </c>
      <c r="BF240" s="85">
        <f t="shared" si="34"/>
        <v>0</v>
      </c>
      <c r="BG240" s="85">
        <f t="shared" si="34"/>
        <v>0</v>
      </c>
      <c r="BH240" s="85">
        <f t="shared" si="34"/>
        <v>0</v>
      </c>
      <c r="BI240" s="85"/>
      <c r="BJ240" s="78">
        <f t="shared" si="32"/>
        <v>0</v>
      </c>
      <c r="BK240" s="84"/>
      <c r="BL240" s="99">
        <v>21</v>
      </c>
      <c r="BM240" s="79">
        <f t="shared" si="29"/>
        <v>0</v>
      </c>
      <c r="BN240" s="75"/>
      <c r="BO240" s="75"/>
    </row>
    <row r="241" spans="1:67" s="4" customFormat="1" x14ac:dyDescent="0.3">
      <c r="A241" s="48">
        <v>1</v>
      </c>
      <c r="B241" s="42" t="s">
        <v>62</v>
      </c>
      <c r="C241" s="43" t="s">
        <v>63</v>
      </c>
      <c r="D241" s="41">
        <v>16.2</v>
      </c>
      <c r="E241" s="41">
        <v>6.3</v>
      </c>
      <c r="F241" s="41">
        <v>9.9</v>
      </c>
      <c r="G241" s="41">
        <v>0</v>
      </c>
      <c r="H241" s="41"/>
      <c r="I241" s="39"/>
      <c r="J241" s="41">
        <f>SUM(V241:BG241)</f>
        <v>9.9</v>
      </c>
      <c r="K241" s="42" t="s">
        <v>898</v>
      </c>
      <c r="L241" s="42" t="s">
        <v>58</v>
      </c>
      <c r="M241" s="43">
        <v>17</v>
      </c>
      <c r="N241" s="210">
        <v>216</v>
      </c>
      <c r="O241" s="43"/>
      <c r="P241" s="105"/>
      <c r="Q241" s="84"/>
      <c r="R241" s="84"/>
      <c r="S241" s="84"/>
      <c r="T241" s="84"/>
      <c r="U241" s="84"/>
      <c r="V241" s="84"/>
      <c r="W241" s="84"/>
      <c r="X241" s="84"/>
      <c r="Y241" s="84">
        <v>9.9</v>
      </c>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78">
        <f t="shared" si="32"/>
        <v>0</v>
      </c>
      <c r="BK241" s="84"/>
      <c r="BL241" s="44">
        <v>21</v>
      </c>
      <c r="BM241" s="79">
        <f t="shared" si="29"/>
        <v>0</v>
      </c>
      <c r="BN241" s="75"/>
      <c r="BO241" s="75"/>
    </row>
    <row r="242" spans="1:67" s="4" customFormat="1" x14ac:dyDescent="0.3">
      <c r="A242" s="48">
        <v>2</v>
      </c>
      <c r="B242" s="42" t="s">
        <v>62</v>
      </c>
      <c r="C242" s="43" t="s">
        <v>63</v>
      </c>
      <c r="D242" s="41">
        <v>4.26</v>
      </c>
      <c r="E242" s="41"/>
      <c r="F242" s="41">
        <v>4.26</v>
      </c>
      <c r="G242" s="41">
        <v>0</v>
      </c>
      <c r="H242" s="41"/>
      <c r="I242" s="39"/>
      <c r="J242" s="41">
        <f>SUM(V242:BG242)</f>
        <v>4.26</v>
      </c>
      <c r="K242" s="42" t="s">
        <v>895</v>
      </c>
      <c r="L242" s="42" t="s">
        <v>58</v>
      </c>
      <c r="M242" s="43">
        <v>18</v>
      </c>
      <c r="N242" s="210">
        <v>217</v>
      </c>
      <c r="O242" s="43"/>
      <c r="P242" s="105"/>
      <c r="Q242" s="84"/>
      <c r="R242" s="84"/>
      <c r="S242" s="84"/>
      <c r="T242" s="84"/>
      <c r="U242" s="84"/>
      <c r="V242" s="84"/>
      <c r="W242" s="84"/>
      <c r="X242" s="84">
        <v>3</v>
      </c>
      <c r="Y242" s="84">
        <v>1.26</v>
      </c>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78">
        <f t="shared" si="32"/>
        <v>0</v>
      </c>
      <c r="BK242" s="84"/>
      <c r="BL242" s="44">
        <v>21</v>
      </c>
      <c r="BM242" s="79">
        <f t="shared" si="29"/>
        <v>0</v>
      </c>
      <c r="BN242" s="75"/>
      <c r="BO242" s="75"/>
    </row>
    <row r="243" spans="1:67" s="4" customFormat="1" x14ac:dyDescent="0.3">
      <c r="A243" s="48">
        <v>3</v>
      </c>
      <c r="B243" s="42" t="s">
        <v>1058</v>
      </c>
      <c r="C243" s="48" t="s">
        <v>63</v>
      </c>
      <c r="D243" s="39">
        <v>25.06</v>
      </c>
      <c r="E243" s="39"/>
      <c r="F243" s="39">
        <v>25.06</v>
      </c>
      <c r="G243" s="39"/>
      <c r="H243" s="41"/>
      <c r="I243" s="39"/>
      <c r="J243" s="41">
        <v>25.06</v>
      </c>
      <c r="K243" s="42" t="s">
        <v>897</v>
      </c>
      <c r="L243" s="42" t="s">
        <v>58</v>
      </c>
      <c r="M243" s="44">
        <v>23</v>
      </c>
      <c r="N243" s="209">
        <v>218</v>
      </c>
      <c r="O243" s="44"/>
      <c r="P243" s="105"/>
      <c r="Q243" s="84"/>
      <c r="R243" s="84"/>
      <c r="S243" s="84"/>
      <c r="T243" s="84"/>
      <c r="U243" s="84"/>
      <c r="V243" s="84"/>
      <c r="W243" s="84"/>
      <c r="X243" s="84">
        <v>15.06</v>
      </c>
      <c r="Y243" s="84"/>
      <c r="Z243" s="84"/>
      <c r="AA243" s="84">
        <v>3.5</v>
      </c>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v>6.5</v>
      </c>
      <c r="BF243" s="84"/>
      <c r="BG243" s="84"/>
      <c r="BH243" s="84"/>
      <c r="BI243" s="84"/>
      <c r="BJ243" s="78">
        <f t="shared" si="32"/>
        <v>0</v>
      </c>
      <c r="BK243" s="84"/>
      <c r="BL243" s="44">
        <v>21</v>
      </c>
      <c r="BM243" s="79">
        <f t="shared" si="29"/>
        <v>0</v>
      </c>
      <c r="BN243" s="75"/>
      <c r="BO243" s="75"/>
    </row>
    <row r="244" spans="1:67" s="4" customFormat="1" ht="46.8" x14ac:dyDescent="0.3">
      <c r="A244" s="48">
        <v>4</v>
      </c>
      <c r="B244" s="50" t="s">
        <v>546</v>
      </c>
      <c r="C244" s="39" t="s">
        <v>63</v>
      </c>
      <c r="D244" s="39">
        <v>17.2</v>
      </c>
      <c r="E244" s="39">
        <v>4</v>
      </c>
      <c r="F244" s="39">
        <v>13.2</v>
      </c>
      <c r="G244" s="39"/>
      <c r="H244" s="39"/>
      <c r="I244" s="39"/>
      <c r="J244" s="39">
        <v>13.2</v>
      </c>
      <c r="K244" s="50" t="s">
        <v>115</v>
      </c>
      <c r="L244" s="50" t="s">
        <v>102</v>
      </c>
      <c r="M244" s="99">
        <v>35</v>
      </c>
      <c r="N244" s="207">
        <v>219</v>
      </c>
      <c r="O244" s="50" t="s">
        <v>1193</v>
      </c>
      <c r="P244" s="39"/>
      <c r="Q244" s="39"/>
      <c r="R244" s="39"/>
      <c r="S244" s="39"/>
      <c r="T244" s="39"/>
      <c r="U244" s="39"/>
      <c r="V244" s="39"/>
      <c r="W244" s="39"/>
      <c r="X244" s="39">
        <v>5.9</v>
      </c>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v>7.3</v>
      </c>
      <c r="BF244" s="39"/>
      <c r="BG244" s="39"/>
      <c r="BH244" s="39"/>
      <c r="BI244" s="39"/>
      <c r="BJ244" s="78">
        <f t="shared" si="32"/>
        <v>0</v>
      </c>
      <c r="BK244" s="39"/>
      <c r="BL244" s="44">
        <v>21</v>
      </c>
      <c r="BM244" s="79">
        <f t="shared" si="29"/>
        <v>0</v>
      </c>
      <c r="BN244" s="75"/>
      <c r="BO244" s="75"/>
    </row>
    <row r="245" spans="1:67" s="4" customFormat="1" x14ac:dyDescent="0.3">
      <c r="A245" s="48">
        <v>5</v>
      </c>
      <c r="B245" s="50" t="s">
        <v>546</v>
      </c>
      <c r="C245" s="39" t="s">
        <v>63</v>
      </c>
      <c r="D245" s="39">
        <v>6</v>
      </c>
      <c r="E245" s="39"/>
      <c r="F245" s="39">
        <v>6</v>
      </c>
      <c r="G245" s="39"/>
      <c r="H245" s="39"/>
      <c r="I245" s="39"/>
      <c r="J245" s="39">
        <v>6</v>
      </c>
      <c r="K245" s="50"/>
      <c r="L245" s="50" t="s">
        <v>102</v>
      </c>
      <c r="M245" s="99">
        <v>99</v>
      </c>
      <c r="N245" s="207">
        <v>220</v>
      </c>
      <c r="O245" s="99"/>
      <c r="P245" s="39"/>
      <c r="Q245" s="39"/>
      <c r="R245" s="39"/>
      <c r="S245" s="39"/>
      <c r="T245" s="39"/>
      <c r="U245" s="39"/>
      <c r="V245" s="39"/>
      <c r="W245" s="39"/>
      <c r="X245" s="39">
        <v>4.8</v>
      </c>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v>1.2</v>
      </c>
      <c r="BF245" s="39"/>
      <c r="BG245" s="39"/>
      <c r="BH245" s="39"/>
      <c r="BI245" s="39"/>
      <c r="BJ245" s="78">
        <f t="shared" si="32"/>
        <v>0</v>
      </c>
      <c r="BK245" s="39"/>
      <c r="BL245" s="44">
        <v>21</v>
      </c>
      <c r="BM245" s="79">
        <f t="shared" si="29"/>
        <v>0</v>
      </c>
      <c r="BN245" s="75"/>
      <c r="BO245" s="75"/>
    </row>
    <row r="246" spans="1:67" s="4" customFormat="1" x14ac:dyDescent="0.3">
      <c r="A246" s="48">
        <v>6</v>
      </c>
      <c r="B246" s="50" t="s">
        <v>176</v>
      </c>
      <c r="C246" s="39" t="s">
        <v>63</v>
      </c>
      <c r="D246" s="41">
        <v>11.3</v>
      </c>
      <c r="E246" s="41"/>
      <c r="F246" s="41">
        <v>11.3</v>
      </c>
      <c r="G246" s="39">
        <v>1.6</v>
      </c>
      <c r="H246" s="39"/>
      <c r="I246" s="39"/>
      <c r="J246" s="39">
        <v>9.6999999999999993</v>
      </c>
      <c r="K246" s="50" t="s">
        <v>158</v>
      </c>
      <c r="L246" s="50" t="s">
        <v>154</v>
      </c>
      <c r="M246" s="110">
        <v>70</v>
      </c>
      <c r="N246" s="211">
        <v>221</v>
      </c>
      <c r="O246" s="110"/>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v>9.6999999999999993</v>
      </c>
      <c r="BF246" s="39"/>
      <c r="BG246" s="39"/>
      <c r="BH246" s="39"/>
      <c r="BI246" s="39"/>
      <c r="BJ246" s="78">
        <f t="shared" si="32"/>
        <v>0</v>
      </c>
      <c r="BK246" s="39"/>
      <c r="BL246" s="44">
        <v>21</v>
      </c>
      <c r="BM246" s="79">
        <f t="shared" si="29"/>
        <v>0</v>
      </c>
      <c r="BN246" s="75"/>
      <c r="BO246" s="75"/>
    </row>
    <row r="247" spans="1:67" s="4" customFormat="1" x14ac:dyDescent="0.3">
      <c r="A247" s="48">
        <v>7</v>
      </c>
      <c r="B247" s="42" t="s">
        <v>1058</v>
      </c>
      <c r="C247" s="48" t="s">
        <v>63</v>
      </c>
      <c r="D247" s="39">
        <v>15.42</v>
      </c>
      <c r="E247" s="39"/>
      <c r="F247" s="39">
        <v>15.42</v>
      </c>
      <c r="G247" s="39"/>
      <c r="H247" s="39"/>
      <c r="I247" s="39"/>
      <c r="J247" s="39">
        <v>15.42</v>
      </c>
      <c r="K247" s="42"/>
      <c r="L247" s="42" t="s">
        <v>233</v>
      </c>
      <c r="M247" s="44">
        <v>25</v>
      </c>
      <c r="N247" s="209">
        <v>222</v>
      </c>
      <c r="O247" s="44"/>
      <c r="P247" s="84"/>
      <c r="Q247" s="84"/>
      <c r="R247" s="84"/>
      <c r="S247" s="84"/>
      <c r="T247" s="84"/>
      <c r="U247" s="84"/>
      <c r="V247" s="84"/>
      <c r="W247" s="84"/>
      <c r="X247" s="84">
        <v>15.42</v>
      </c>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78">
        <f t="shared" si="32"/>
        <v>0</v>
      </c>
      <c r="BK247" s="97"/>
      <c r="BL247" s="44">
        <v>21</v>
      </c>
      <c r="BM247" s="79">
        <f t="shared" si="29"/>
        <v>0</v>
      </c>
      <c r="BN247" s="75"/>
      <c r="BO247" s="75"/>
    </row>
    <row r="248" spans="1:67" s="4" customFormat="1" x14ac:dyDescent="0.3">
      <c r="A248" s="48">
        <v>8</v>
      </c>
      <c r="B248" s="42" t="s">
        <v>1059</v>
      </c>
      <c r="C248" s="48" t="s">
        <v>63</v>
      </c>
      <c r="D248" s="39">
        <v>17.3</v>
      </c>
      <c r="E248" s="39"/>
      <c r="F248" s="39">
        <v>17.3</v>
      </c>
      <c r="G248" s="39"/>
      <c r="H248" s="39"/>
      <c r="I248" s="39"/>
      <c r="J248" s="39">
        <v>17.3</v>
      </c>
      <c r="K248" s="42"/>
      <c r="L248" s="42" t="s">
        <v>233</v>
      </c>
      <c r="M248" s="127">
        <v>11</v>
      </c>
      <c r="N248" s="209">
        <v>223</v>
      </c>
      <c r="O248" s="127"/>
      <c r="P248" s="84"/>
      <c r="Q248" s="84"/>
      <c r="R248" s="84"/>
      <c r="S248" s="84"/>
      <c r="T248" s="84"/>
      <c r="U248" s="84"/>
      <c r="V248" s="48"/>
      <c r="W248" s="84"/>
      <c r="X248" s="84">
        <v>17.3</v>
      </c>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78"/>
      <c r="BK248" s="97"/>
      <c r="BL248" s="44"/>
      <c r="BM248" s="79">
        <f t="shared" si="29"/>
        <v>0</v>
      </c>
      <c r="BN248" s="75"/>
      <c r="BO248" s="75"/>
    </row>
    <row r="249" spans="1:67" s="4" customFormat="1" x14ac:dyDescent="0.3">
      <c r="A249" s="48">
        <v>9</v>
      </c>
      <c r="B249" s="42" t="s">
        <v>1060</v>
      </c>
      <c r="C249" s="48" t="s">
        <v>63</v>
      </c>
      <c r="D249" s="39">
        <v>22.4</v>
      </c>
      <c r="E249" s="39"/>
      <c r="F249" s="39">
        <v>22.4</v>
      </c>
      <c r="G249" s="39"/>
      <c r="H249" s="39"/>
      <c r="I249" s="39"/>
      <c r="J249" s="39">
        <v>22.4</v>
      </c>
      <c r="K249" s="42"/>
      <c r="L249" s="42" t="s">
        <v>233</v>
      </c>
      <c r="M249" s="127">
        <v>7</v>
      </c>
      <c r="N249" s="209">
        <v>224</v>
      </c>
      <c r="O249" s="127"/>
      <c r="P249" s="84"/>
      <c r="Q249" s="84"/>
      <c r="R249" s="84"/>
      <c r="S249" s="84"/>
      <c r="T249" s="84"/>
      <c r="U249" s="84"/>
      <c r="V249" s="48"/>
      <c r="W249" s="84"/>
      <c r="X249" s="84">
        <v>22.4</v>
      </c>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78"/>
      <c r="BK249" s="97"/>
      <c r="BL249" s="44"/>
      <c r="BM249" s="79">
        <f t="shared" si="29"/>
        <v>0</v>
      </c>
      <c r="BN249" s="75"/>
      <c r="BO249" s="75"/>
    </row>
    <row r="250" spans="1:67" s="4" customFormat="1" x14ac:dyDescent="0.3">
      <c r="A250" s="48">
        <v>10</v>
      </c>
      <c r="B250" s="42" t="s">
        <v>1061</v>
      </c>
      <c r="C250" s="48" t="s">
        <v>63</v>
      </c>
      <c r="D250" s="39">
        <v>7.1</v>
      </c>
      <c r="E250" s="39"/>
      <c r="F250" s="39">
        <v>7.1</v>
      </c>
      <c r="G250" s="39"/>
      <c r="H250" s="39"/>
      <c r="I250" s="39"/>
      <c r="J250" s="39">
        <v>7.1</v>
      </c>
      <c r="K250" s="42"/>
      <c r="L250" s="42" t="s">
        <v>233</v>
      </c>
      <c r="M250" s="127">
        <v>10</v>
      </c>
      <c r="N250" s="209">
        <v>225</v>
      </c>
      <c r="O250" s="127"/>
      <c r="P250" s="84"/>
      <c r="Q250" s="84"/>
      <c r="R250" s="84"/>
      <c r="S250" s="84"/>
      <c r="T250" s="84"/>
      <c r="U250" s="84"/>
      <c r="V250" s="48"/>
      <c r="W250" s="84"/>
      <c r="X250" s="84">
        <v>7.1</v>
      </c>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78"/>
      <c r="BK250" s="97"/>
      <c r="BL250" s="44"/>
      <c r="BM250" s="79">
        <f t="shared" si="29"/>
        <v>0</v>
      </c>
      <c r="BN250" s="75"/>
      <c r="BO250" s="75"/>
    </row>
    <row r="251" spans="1:67" s="4" customFormat="1" x14ac:dyDescent="0.3">
      <c r="A251" s="48">
        <v>11</v>
      </c>
      <c r="B251" s="42" t="s">
        <v>1062</v>
      </c>
      <c r="C251" s="48" t="s">
        <v>63</v>
      </c>
      <c r="D251" s="39">
        <v>15.5</v>
      </c>
      <c r="E251" s="39"/>
      <c r="F251" s="39">
        <v>15.5</v>
      </c>
      <c r="G251" s="39"/>
      <c r="H251" s="39"/>
      <c r="I251" s="39"/>
      <c r="J251" s="39">
        <v>15.5</v>
      </c>
      <c r="K251" s="42"/>
      <c r="L251" s="42" t="s">
        <v>233</v>
      </c>
      <c r="M251" s="127">
        <v>13</v>
      </c>
      <c r="N251" s="209">
        <v>226</v>
      </c>
      <c r="O251" s="127"/>
      <c r="P251" s="84"/>
      <c r="Q251" s="84"/>
      <c r="R251" s="84"/>
      <c r="S251" s="84"/>
      <c r="T251" s="84"/>
      <c r="U251" s="84"/>
      <c r="V251" s="48"/>
      <c r="W251" s="84"/>
      <c r="X251" s="84">
        <v>15.5</v>
      </c>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78"/>
      <c r="BK251" s="97"/>
      <c r="BL251" s="44"/>
      <c r="BM251" s="79">
        <f t="shared" si="29"/>
        <v>0</v>
      </c>
      <c r="BN251" s="75"/>
      <c r="BO251" s="75"/>
    </row>
    <row r="252" spans="1:67" s="4" customFormat="1" ht="31.2" x14ac:dyDescent="0.3">
      <c r="A252" s="48">
        <v>12</v>
      </c>
      <c r="B252" s="42" t="s">
        <v>1058</v>
      </c>
      <c r="C252" s="48" t="s">
        <v>63</v>
      </c>
      <c r="D252" s="39">
        <v>16.48</v>
      </c>
      <c r="E252" s="39"/>
      <c r="F252" s="39">
        <v>16.48</v>
      </c>
      <c r="G252" s="39"/>
      <c r="H252" s="39"/>
      <c r="I252" s="39"/>
      <c r="J252" s="39">
        <v>16.48</v>
      </c>
      <c r="K252" s="42" t="s">
        <v>1028</v>
      </c>
      <c r="L252" s="42" t="s">
        <v>247</v>
      </c>
      <c r="M252" s="48">
        <v>20</v>
      </c>
      <c r="N252" s="206">
        <v>227</v>
      </c>
      <c r="O252" s="48"/>
      <c r="P252" s="84"/>
      <c r="Q252" s="84"/>
      <c r="R252" s="84"/>
      <c r="S252" s="84"/>
      <c r="T252" s="84"/>
      <c r="U252" s="84"/>
      <c r="V252" s="84"/>
      <c r="W252" s="84"/>
      <c r="X252" s="84">
        <v>16.48</v>
      </c>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118"/>
      <c r="BF252" s="84"/>
      <c r="BG252" s="84"/>
      <c r="BH252" s="84"/>
      <c r="BI252" s="84"/>
      <c r="BJ252" s="78">
        <f t="shared" ref="BJ252:BJ323" si="35">D252-E252-F252</f>
        <v>0</v>
      </c>
      <c r="BK252" s="84"/>
      <c r="BL252" s="44">
        <v>21</v>
      </c>
      <c r="BM252" s="79">
        <f t="shared" si="29"/>
        <v>0</v>
      </c>
      <c r="BN252" s="75"/>
      <c r="BO252" s="75"/>
    </row>
    <row r="253" spans="1:67" s="4" customFormat="1" x14ac:dyDescent="0.3">
      <c r="A253" s="48">
        <v>13</v>
      </c>
      <c r="B253" s="42" t="s">
        <v>1058</v>
      </c>
      <c r="C253" s="48" t="s">
        <v>63</v>
      </c>
      <c r="D253" s="39">
        <v>11.6</v>
      </c>
      <c r="E253" s="39"/>
      <c r="F253" s="39">
        <v>11.6</v>
      </c>
      <c r="G253" s="39"/>
      <c r="H253" s="39"/>
      <c r="I253" s="39"/>
      <c r="J253" s="39">
        <v>11.6</v>
      </c>
      <c r="K253" s="42" t="s">
        <v>963</v>
      </c>
      <c r="L253" s="42" t="s">
        <v>247</v>
      </c>
      <c r="M253" s="48">
        <v>21</v>
      </c>
      <c r="N253" s="206">
        <v>228</v>
      </c>
      <c r="O253" s="48"/>
      <c r="P253" s="84"/>
      <c r="Q253" s="84"/>
      <c r="R253" s="84"/>
      <c r="S253" s="84"/>
      <c r="T253" s="84"/>
      <c r="U253" s="84"/>
      <c r="V253" s="84"/>
      <c r="W253" s="84"/>
      <c r="X253" s="84">
        <v>11.6</v>
      </c>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78">
        <f t="shared" si="35"/>
        <v>0</v>
      </c>
      <c r="BK253" s="84"/>
      <c r="BL253" s="44">
        <v>21</v>
      </c>
      <c r="BM253" s="79">
        <f t="shared" si="29"/>
        <v>0</v>
      </c>
      <c r="BN253" s="75"/>
      <c r="BO253" s="75"/>
    </row>
    <row r="254" spans="1:67" s="4" customFormat="1" x14ac:dyDescent="0.3">
      <c r="A254" s="48">
        <v>14</v>
      </c>
      <c r="B254" s="42" t="s">
        <v>1058</v>
      </c>
      <c r="C254" s="48" t="s">
        <v>63</v>
      </c>
      <c r="D254" s="39">
        <v>5.6</v>
      </c>
      <c r="E254" s="39"/>
      <c r="F254" s="39">
        <v>5.6</v>
      </c>
      <c r="G254" s="39"/>
      <c r="H254" s="39"/>
      <c r="I254" s="39"/>
      <c r="J254" s="39">
        <v>5.6</v>
      </c>
      <c r="K254" s="42" t="s">
        <v>1023</v>
      </c>
      <c r="L254" s="42" t="s">
        <v>247</v>
      </c>
      <c r="M254" s="48">
        <v>22</v>
      </c>
      <c r="N254" s="206">
        <v>229</v>
      </c>
      <c r="O254" s="48"/>
      <c r="P254" s="84"/>
      <c r="Q254" s="84"/>
      <c r="R254" s="84"/>
      <c r="S254" s="84"/>
      <c r="T254" s="84"/>
      <c r="U254" s="84"/>
      <c r="V254" s="84"/>
      <c r="W254" s="84"/>
      <c r="X254" s="84">
        <v>5.6</v>
      </c>
      <c r="Y254" s="84"/>
      <c r="Z254" s="84"/>
      <c r="AA254" s="84"/>
      <c r="AB254" s="84"/>
      <c r="AC254" s="84"/>
      <c r="AD254" s="84"/>
      <c r="AE254" s="84"/>
      <c r="AF254" s="84"/>
      <c r="AG254" s="84"/>
      <c r="AH254" s="84"/>
      <c r="AI254" s="84"/>
      <c r="AJ254" s="84"/>
      <c r="AK254" s="84"/>
      <c r="AL254" s="84"/>
      <c r="AM254" s="84"/>
      <c r="AN254" s="84"/>
      <c r="AO254" s="118"/>
      <c r="AP254" s="84"/>
      <c r="AQ254" s="84"/>
      <c r="AR254" s="84"/>
      <c r="AS254" s="84"/>
      <c r="AT254" s="84"/>
      <c r="AU254" s="84"/>
      <c r="AV254" s="84"/>
      <c r="AW254" s="84"/>
      <c r="AX254" s="84"/>
      <c r="AY254" s="84"/>
      <c r="AZ254" s="84"/>
      <c r="BA254" s="84"/>
      <c r="BB254" s="84"/>
      <c r="BC254" s="84"/>
      <c r="BD254" s="84"/>
      <c r="BE254" s="118"/>
      <c r="BF254" s="84"/>
      <c r="BG254" s="84"/>
      <c r="BH254" s="84"/>
      <c r="BI254" s="84"/>
      <c r="BJ254" s="78">
        <f t="shared" si="35"/>
        <v>0</v>
      </c>
      <c r="BK254" s="84"/>
      <c r="BL254" s="44">
        <v>21</v>
      </c>
      <c r="BM254" s="79">
        <f t="shared" si="29"/>
        <v>0</v>
      </c>
      <c r="BN254" s="75"/>
      <c r="BO254" s="75"/>
    </row>
    <row r="255" spans="1:67" s="4" customFormat="1" ht="31.2" x14ac:dyDescent="0.3">
      <c r="A255" s="48">
        <v>15</v>
      </c>
      <c r="B255" s="42" t="s">
        <v>1058</v>
      </c>
      <c r="C255" s="95" t="s">
        <v>63</v>
      </c>
      <c r="D255" s="39">
        <v>16.600000000000001</v>
      </c>
      <c r="E255" s="39"/>
      <c r="F255" s="39">
        <v>16.600000000000001</v>
      </c>
      <c r="G255" s="39"/>
      <c r="H255" s="39"/>
      <c r="I255" s="39"/>
      <c r="J255" s="39">
        <v>16.600000000000001</v>
      </c>
      <c r="K255" s="42" t="s">
        <v>1029</v>
      </c>
      <c r="L255" s="42" t="s">
        <v>247</v>
      </c>
      <c r="M255" s="95">
        <v>36</v>
      </c>
      <c r="N255" s="212">
        <v>230</v>
      </c>
      <c r="O255" s="95"/>
      <c r="P255" s="84"/>
      <c r="Q255" s="84"/>
      <c r="R255" s="84"/>
      <c r="S255" s="84"/>
      <c r="T255" s="84"/>
      <c r="U255" s="84"/>
      <c r="V255" s="84"/>
      <c r="W255" s="84"/>
      <c r="X255" s="84">
        <v>16.600000000000001</v>
      </c>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78">
        <f t="shared" si="35"/>
        <v>0</v>
      </c>
      <c r="BK255" s="84"/>
      <c r="BL255" s="44">
        <v>21</v>
      </c>
      <c r="BM255" s="79">
        <f t="shared" si="29"/>
        <v>0</v>
      </c>
      <c r="BN255" s="75"/>
      <c r="BO255" s="75"/>
    </row>
    <row r="256" spans="1:67" s="4" customFormat="1" ht="31.2" x14ac:dyDescent="0.3">
      <c r="A256" s="48">
        <v>16</v>
      </c>
      <c r="B256" s="42" t="s">
        <v>1058</v>
      </c>
      <c r="C256" s="95" t="s">
        <v>63</v>
      </c>
      <c r="D256" s="39">
        <v>5.9</v>
      </c>
      <c r="E256" s="39"/>
      <c r="F256" s="39">
        <v>5.9</v>
      </c>
      <c r="G256" s="39"/>
      <c r="H256" s="39"/>
      <c r="I256" s="39"/>
      <c r="J256" s="39">
        <v>5.9</v>
      </c>
      <c r="K256" s="42" t="s">
        <v>1030</v>
      </c>
      <c r="L256" s="42" t="s">
        <v>247</v>
      </c>
      <c r="M256" s="95">
        <v>37</v>
      </c>
      <c r="N256" s="212">
        <v>231</v>
      </c>
      <c r="O256" s="95"/>
      <c r="P256" s="84"/>
      <c r="Q256" s="84"/>
      <c r="R256" s="84"/>
      <c r="S256" s="84"/>
      <c r="T256" s="84"/>
      <c r="U256" s="84"/>
      <c r="V256" s="84"/>
      <c r="W256" s="84"/>
      <c r="X256" s="84">
        <v>5.9</v>
      </c>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118"/>
      <c r="BF256" s="84"/>
      <c r="BG256" s="84"/>
      <c r="BH256" s="84"/>
      <c r="BI256" s="84"/>
      <c r="BJ256" s="78">
        <f t="shared" si="35"/>
        <v>0</v>
      </c>
      <c r="BK256" s="84"/>
      <c r="BL256" s="44">
        <v>21</v>
      </c>
      <c r="BM256" s="79">
        <f t="shared" si="29"/>
        <v>0</v>
      </c>
      <c r="BN256" s="75"/>
      <c r="BO256" s="75"/>
    </row>
    <row r="257" spans="1:67" s="4" customFormat="1" ht="46.8" x14ac:dyDescent="0.3">
      <c r="A257" s="48">
        <v>17</v>
      </c>
      <c r="B257" s="42" t="s">
        <v>1058</v>
      </c>
      <c r="C257" s="95" t="s">
        <v>63</v>
      </c>
      <c r="D257" s="39">
        <v>5.72</v>
      </c>
      <c r="E257" s="39"/>
      <c r="F257" s="39">
        <v>5.72</v>
      </c>
      <c r="G257" s="39"/>
      <c r="H257" s="39"/>
      <c r="I257" s="39"/>
      <c r="J257" s="39">
        <v>5.72</v>
      </c>
      <c r="K257" s="42" t="s">
        <v>1031</v>
      </c>
      <c r="L257" s="42" t="s">
        <v>247</v>
      </c>
      <c r="M257" s="43">
        <v>38</v>
      </c>
      <c r="N257" s="210">
        <v>232</v>
      </c>
      <c r="O257" s="43"/>
      <c r="P257" s="84"/>
      <c r="Q257" s="84"/>
      <c r="R257" s="84"/>
      <c r="S257" s="84"/>
      <c r="T257" s="84"/>
      <c r="U257" s="84"/>
      <c r="V257" s="44"/>
      <c r="W257" s="84"/>
      <c r="X257" s="84">
        <v>5.72</v>
      </c>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78">
        <f t="shared" si="35"/>
        <v>0</v>
      </c>
      <c r="BK257" s="84"/>
      <c r="BL257" s="44">
        <v>21</v>
      </c>
      <c r="BM257" s="79">
        <f t="shared" si="29"/>
        <v>0</v>
      </c>
      <c r="BN257" s="75"/>
      <c r="BO257" s="75"/>
    </row>
    <row r="258" spans="1:67" s="4" customFormat="1" ht="46.8" x14ac:dyDescent="0.3">
      <c r="A258" s="48">
        <v>18</v>
      </c>
      <c r="B258" s="42" t="s">
        <v>1058</v>
      </c>
      <c r="C258" s="95" t="s">
        <v>63</v>
      </c>
      <c r="D258" s="39">
        <v>7.1</v>
      </c>
      <c r="E258" s="39"/>
      <c r="F258" s="39">
        <v>7.1</v>
      </c>
      <c r="G258" s="39"/>
      <c r="H258" s="39"/>
      <c r="I258" s="39"/>
      <c r="J258" s="39">
        <v>7.1</v>
      </c>
      <c r="K258" s="42" t="s">
        <v>1031</v>
      </c>
      <c r="L258" s="42" t="s">
        <v>247</v>
      </c>
      <c r="M258" s="95">
        <v>39</v>
      </c>
      <c r="N258" s="212">
        <v>233</v>
      </c>
      <c r="O258" s="95"/>
      <c r="P258" s="84"/>
      <c r="Q258" s="84"/>
      <c r="R258" s="84"/>
      <c r="S258" s="84"/>
      <c r="T258" s="84"/>
      <c r="U258" s="84"/>
      <c r="V258" s="84"/>
      <c r="W258" s="84"/>
      <c r="X258" s="84">
        <v>7.1</v>
      </c>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78">
        <f t="shared" si="35"/>
        <v>0</v>
      </c>
      <c r="BK258" s="84"/>
      <c r="BL258" s="44">
        <v>21</v>
      </c>
      <c r="BM258" s="79">
        <f t="shared" si="29"/>
        <v>0</v>
      </c>
      <c r="BN258" s="75"/>
      <c r="BO258" s="75"/>
    </row>
    <row r="259" spans="1:67" s="4" customFormat="1" ht="46.8" x14ac:dyDescent="0.3">
      <c r="A259" s="48">
        <v>19</v>
      </c>
      <c r="B259" s="42" t="s">
        <v>1063</v>
      </c>
      <c r="C259" s="95" t="s">
        <v>63</v>
      </c>
      <c r="D259" s="39">
        <v>2.88</v>
      </c>
      <c r="E259" s="39"/>
      <c r="F259" s="39">
        <v>2.88</v>
      </c>
      <c r="G259" s="39">
        <v>0</v>
      </c>
      <c r="H259" s="39"/>
      <c r="I259" s="39"/>
      <c r="J259" s="39">
        <v>2.88</v>
      </c>
      <c r="K259" s="42" t="s">
        <v>1032</v>
      </c>
      <c r="L259" s="42" t="s">
        <v>247</v>
      </c>
      <c r="M259" s="95">
        <v>40</v>
      </c>
      <c r="N259" s="212">
        <v>234</v>
      </c>
      <c r="O259" s="95"/>
      <c r="P259" s="84"/>
      <c r="Q259" s="84"/>
      <c r="R259" s="84"/>
      <c r="S259" s="84"/>
      <c r="T259" s="84"/>
      <c r="U259" s="84"/>
      <c r="V259" s="84"/>
      <c r="W259" s="84"/>
      <c r="X259" s="84">
        <v>2.88</v>
      </c>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78">
        <f t="shared" si="35"/>
        <v>0</v>
      </c>
      <c r="BK259" s="84"/>
      <c r="BL259" s="44">
        <v>21</v>
      </c>
      <c r="BM259" s="79">
        <f t="shared" si="29"/>
        <v>0</v>
      </c>
      <c r="BN259" s="75"/>
      <c r="BO259" s="75"/>
    </row>
    <row r="260" spans="1:67" s="4" customFormat="1" ht="31.2" x14ac:dyDescent="0.3">
      <c r="A260" s="48">
        <v>20</v>
      </c>
      <c r="B260" s="42" t="s">
        <v>1058</v>
      </c>
      <c r="C260" s="95" t="s">
        <v>63</v>
      </c>
      <c r="D260" s="39">
        <v>3.6</v>
      </c>
      <c r="E260" s="39"/>
      <c r="F260" s="39">
        <v>3.6</v>
      </c>
      <c r="G260" s="39"/>
      <c r="H260" s="39"/>
      <c r="I260" s="39"/>
      <c r="J260" s="39">
        <v>3.6</v>
      </c>
      <c r="K260" s="42" t="s">
        <v>1033</v>
      </c>
      <c r="L260" s="42" t="s">
        <v>247</v>
      </c>
      <c r="M260" s="43">
        <v>41</v>
      </c>
      <c r="N260" s="210">
        <v>235</v>
      </c>
      <c r="O260" s="43"/>
      <c r="P260" s="84"/>
      <c r="Q260" s="84"/>
      <c r="R260" s="84"/>
      <c r="S260" s="84"/>
      <c r="T260" s="84"/>
      <c r="U260" s="84"/>
      <c r="V260" s="84"/>
      <c r="W260" s="84"/>
      <c r="X260" s="84">
        <v>3.6</v>
      </c>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78">
        <f t="shared" si="35"/>
        <v>0</v>
      </c>
      <c r="BK260" s="84"/>
      <c r="BL260" s="44">
        <v>21</v>
      </c>
      <c r="BM260" s="79">
        <f t="shared" si="29"/>
        <v>0</v>
      </c>
      <c r="BN260" s="75"/>
      <c r="BO260" s="75"/>
    </row>
    <row r="261" spans="1:67" s="4" customFormat="1" ht="102.75" customHeight="1" x14ac:dyDescent="0.3">
      <c r="A261" s="48">
        <v>21</v>
      </c>
      <c r="B261" s="42" t="s">
        <v>547</v>
      </c>
      <c r="C261" s="43" t="s">
        <v>63</v>
      </c>
      <c r="D261" s="39">
        <v>4.9000000000000004</v>
      </c>
      <c r="E261" s="39"/>
      <c r="F261" s="39">
        <v>4.9000000000000004</v>
      </c>
      <c r="G261" s="39">
        <v>0</v>
      </c>
      <c r="H261" s="39"/>
      <c r="I261" s="39"/>
      <c r="J261" s="39">
        <v>4.9000000000000004</v>
      </c>
      <c r="K261" s="42" t="s">
        <v>1034</v>
      </c>
      <c r="L261" s="42" t="s">
        <v>247</v>
      </c>
      <c r="M261" s="43">
        <v>42</v>
      </c>
      <c r="N261" s="210">
        <v>236</v>
      </c>
      <c r="O261" s="43"/>
      <c r="P261" s="84"/>
      <c r="Q261" s="84"/>
      <c r="R261" s="84"/>
      <c r="S261" s="84"/>
      <c r="T261" s="84"/>
      <c r="U261" s="84"/>
      <c r="V261" s="84"/>
      <c r="W261" s="84"/>
      <c r="X261" s="84">
        <v>4.9000000000000004</v>
      </c>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78">
        <f t="shared" si="35"/>
        <v>0</v>
      </c>
      <c r="BK261" s="84"/>
      <c r="BL261" s="44">
        <v>21</v>
      </c>
      <c r="BM261" s="79">
        <f t="shared" si="29"/>
        <v>0</v>
      </c>
      <c r="BN261" s="75"/>
      <c r="BO261" s="75"/>
    </row>
    <row r="262" spans="1:67" s="4" customFormat="1" ht="75" customHeight="1" x14ac:dyDescent="0.3">
      <c r="A262" s="48">
        <v>22</v>
      </c>
      <c r="B262" s="42" t="s">
        <v>1058</v>
      </c>
      <c r="C262" s="95" t="s">
        <v>63</v>
      </c>
      <c r="D262" s="39">
        <v>3.74</v>
      </c>
      <c r="E262" s="39"/>
      <c r="F262" s="39">
        <v>3.74</v>
      </c>
      <c r="G262" s="39"/>
      <c r="H262" s="39"/>
      <c r="I262" s="39"/>
      <c r="J262" s="39">
        <v>3.74</v>
      </c>
      <c r="K262" s="42" t="s">
        <v>247</v>
      </c>
      <c r="L262" s="42" t="s">
        <v>247</v>
      </c>
      <c r="M262" s="44">
        <v>51</v>
      </c>
      <c r="N262" s="209">
        <v>237</v>
      </c>
      <c r="O262" s="44"/>
      <c r="P262" s="84"/>
      <c r="Q262" s="84"/>
      <c r="R262" s="84"/>
      <c r="S262" s="84"/>
      <c r="T262" s="84"/>
      <c r="U262" s="84"/>
      <c r="V262" s="84"/>
      <c r="W262" s="84"/>
      <c r="X262" s="84">
        <v>3.74</v>
      </c>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78">
        <f t="shared" si="35"/>
        <v>0</v>
      </c>
      <c r="BK262" s="84"/>
      <c r="BL262" s="44">
        <v>21</v>
      </c>
      <c r="BM262" s="79">
        <f t="shared" si="29"/>
        <v>0</v>
      </c>
      <c r="BN262" s="75"/>
      <c r="BO262" s="75"/>
    </row>
    <row r="263" spans="1:67" s="4" customFormat="1" x14ac:dyDescent="0.3">
      <c r="A263" s="48">
        <v>23</v>
      </c>
      <c r="B263" s="42" t="s">
        <v>1058</v>
      </c>
      <c r="C263" s="48" t="s">
        <v>63</v>
      </c>
      <c r="D263" s="41">
        <v>19.600000000000001</v>
      </c>
      <c r="E263" s="41"/>
      <c r="F263" s="41">
        <v>19.600000000000001</v>
      </c>
      <c r="G263" s="39"/>
      <c r="H263" s="39"/>
      <c r="I263" s="39"/>
      <c r="J263" s="39">
        <v>19.600000000000001</v>
      </c>
      <c r="K263" s="42" t="s">
        <v>285</v>
      </c>
      <c r="L263" s="42" t="s">
        <v>285</v>
      </c>
      <c r="M263" s="48">
        <v>22</v>
      </c>
      <c r="N263" s="206">
        <v>238</v>
      </c>
      <c r="O263" s="48"/>
      <c r="P263" s="84"/>
      <c r="Q263" s="84"/>
      <c r="R263" s="84"/>
      <c r="S263" s="84"/>
      <c r="T263" s="84"/>
      <c r="U263" s="84"/>
      <c r="V263" s="118"/>
      <c r="W263" s="84"/>
      <c r="X263" s="84">
        <v>19.600000000000001</v>
      </c>
      <c r="Y263" s="84"/>
      <c r="Z263" s="84"/>
      <c r="AA263" s="84"/>
      <c r="AB263" s="84"/>
      <c r="AC263" s="84"/>
      <c r="AD263" s="84"/>
      <c r="AE263" s="84"/>
      <c r="AF263" s="84"/>
      <c r="AG263" s="118"/>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78">
        <f t="shared" si="35"/>
        <v>0</v>
      </c>
      <c r="BK263" s="84"/>
      <c r="BL263" s="44">
        <v>21</v>
      </c>
      <c r="BM263" s="79">
        <f t="shared" si="29"/>
        <v>0</v>
      </c>
      <c r="BN263" s="75"/>
      <c r="BO263" s="75"/>
    </row>
    <row r="264" spans="1:67" s="61" customFormat="1" x14ac:dyDescent="0.3">
      <c r="A264" s="48">
        <v>24</v>
      </c>
      <c r="B264" s="42" t="s">
        <v>1058</v>
      </c>
      <c r="C264" s="48" t="s">
        <v>63</v>
      </c>
      <c r="D264" s="41">
        <v>17.8</v>
      </c>
      <c r="E264" s="41"/>
      <c r="F264" s="41">
        <v>17.8</v>
      </c>
      <c r="G264" s="39"/>
      <c r="H264" s="39"/>
      <c r="I264" s="39"/>
      <c r="J264" s="39">
        <v>17.8</v>
      </c>
      <c r="K264" s="42" t="s">
        <v>285</v>
      </c>
      <c r="L264" s="42" t="s">
        <v>285</v>
      </c>
      <c r="M264" s="48">
        <v>23</v>
      </c>
      <c r="N264" s="206">
        <v>239</v>
      </c>
      <c r="O264" s="48"/>
      <c r="P264" s="84"/>
      <c r="Q264" s="84"/>
      <c r="R264" s="84"/>
      <c r="S264" s="84"/>
      <c r="T264" s="84"/>
      <c r="U264" s="84"/>
      <c r="V264" s="118"/>
      <c r="W264" s="84"/>
      <c r="X264" s="84">
        <v>17.8</v>
      </c>
      <c r="Y264" s="84"/>
      <c r="Z264" s="84"/>
      <c r="AA264" s="84"/>
      <c r="AB264" s="84"/>
      <c r="AC264" s="84"/>
      <c r="AD264" s="84"/>
      <c r="AE264" s="84"/>
      <c r="AF264" s="84"/>
      <c r="AG264" s="118"/>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78">
        <f t="shared" si="35"/>
        <v>0</v>
      </c>
      <c r="BK264" s="84"/>
      <c r="BL264" s="44">
        <v>21</v>
      </c>
      <c r="BM264" s="79">
        <f t="shared" si="29"/>
        <v>0</v>
      </c>
      <c r="BN264" s="75"/>
      <c r="BO264" s="75"/>
    </row>
    <row r="265" spans="1:67" s="4" customFormat="1" x14ac:dyDescent="0.3">
      <c r="A265" s="48">
        <v>25</v>
      </c>
      <c r="B265" s="42" t="s">
        <v>1058</v>
      </c>
      <c r="C265" s="48" t="s">
        <v>63</v>
      </c>
      <c r="D265" s="39">
        <v>7</v>
      </c>
      <c r="E265" s="39"/>
      <c r="F265" s="39">
        <v>7</v>
      </c>
      <c r="G265" s="39"/>
      <c r="H265" s="39"/>
      <c r="I265" s="39"/>
      <c r="J265" s="39">
        <v>7</v>
      </c>
      <c r="K265" s="42" t="s">
        <v>285</v>
      </c>
      <c r="L265" s="42" t="s">
        <v>285</v>
      </c>
      <c r="M265" s="44">
        <v>27</v>
      </c>
      <c r="N265" s="209">
        <v>240</v>
      </c>
      <c r="O265" s="44"/>
      <c r="P265" s="84"/>
      <c r="Q265" s="84"/>
      <c r="R265" s="84"/>
      <c r="S265" s="84"/>
      <c r="T265" s="84"/>
      <c r="U265" s="84"/>
      <c r="V265" s="84"/>
      <c r="W265" s="84"/>
      <c r="X265" s="84">
        <v>7</v>
      </c>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78">
        <f t="shared" si="35"/>
        <v>0</v>
      </c>
      <c r="BK265" s="84"/>
      <c r="BL265" s="44">
        <v>21</v>
      </c>
      <c r="BM265" s="79">
        <f t="shared" si="29"/>
        <v>0</v>
      </c>
      <c r="BN265" s="75"/>
      <c r="BO265" s="75"/>
    </row>
    <row r="266" spans="1:67" ht="31.2" x14ac:dyDescent="0.3">
      <c r="A266" s="76" t="s">
        <v>618</v>
      </c>
      <c r="B266" s="77" t="s">
        <v>619</v>
      </c>
      <c r="C266" s="80" t="s">
        <v>620</v>
      </c>
      <c r="D266" s="81">
        <f t="shared" ref="D266:J266" si="36">D267+D439+D493+D498+D502+D540+D549+D578+D603+D607+D624+D649</f>
        <v>1444.4900000000002</v>
      </c>
      <c r="E266" s="81">
        <f t="shared" si="36"/>
        <v>364.61</v>
      </c>
      <c r="F266" s="81">
        <f t="shared" si="36"/>
        <v>1079.8800000000001</v>
      </c>
      <c r="G266" s="81">
        <f t="shared" si="36"/>
        <v>449.25000000000023</v>
      </c>
      <c r="H266" s="81">
        <f t="shared" si="36"/>
        <v>152.09</v>
      </c>
      <c r="I266" s="81">
        <f t="shared" si="36"/>
        <v>0</v>
      </c>
      <c r="J266" s="81">
        <f t="shared" si="36"/>
        <v>478.54000000000008</v>
      </c>
      <c r="K266" s="82"/>
      <c r="L266" s="82"/>
      <c r="M266" s="83">
        <f>M267+M439+M493+M498+M502+M540+M549+M578+M603+M607+M624+M649</f>
        <v>3275.35</v>
      </c>
      <c r="N266" s="83"/>
      <c r="O266" s="83"/>
      <c r="P266" s="83">
        <f t="shared" ref="P266:BH266" si="37">P267+P439+P493+P498+P502+P540+P549+P578+P603+P607+P624+P649</f>
        <v>150.29</v>
      </c>
      <c r="Q266" s="83">
        <f t="shared" si="37"/>
        <v>0</v>
      </c>
      <c r="R266" s="83">
        <f t="shared" si="37"/>
        <v>0</v>
      </c>
      <c r="S266" s="83">
        <f t="shared" si="37"/>
        <v>0</v>
      </c>
      <c r="T266" s="83">
        <f t="shared" si="37"/>
        <v>0</v>
      </c>
      <c r="U266" s="83">
        <f t="shared" si="37"/>
        <v>0</v>
      </c>
      <c r="V266" s="83">
        <f t="shared" si="37"/>
        <v>0.14000000000000001</v>
      </c>
      <c r="W266" s="83">
        <f t="shared" si="37"/>
        <v>0</v>
      </c>
      <c r="X266" s="83">
        <f t="shared" si="37"/>
        <v>38.379999999999995</v>
      </c>
      <c r="Y266" s="83">
        <f t="shared" si="37"/>
        <v>3.16</v>
      </c>
      <c r="Z266" s="83">
        <f t="shared" si="37"/>
        <v>116.87</v>
      </c>
      <c r="AA266" s="83">
        <f t="shared" si="37"/>
        <v>34.759999999999991</v>
      </c>
      <c r="AB266" s="83">
        <f t="shared" si="37"/>
        <v>7.5200000000000014</v>
      </c>
      <c r="AC266" s="83">
        <f t="shared" si="37"/>
        <v>0</v>
      </c>
      <c r="AD266" s="83">
        <f t="shared" si="37"/>
        <v>6.03</v>
      </c>
      <c r="AE266" s="83">
        <f t="shared" si="37"/>
        <v>32.78</v>
      </c>
      <c r="AF266" s="83">
        <f t="shared" si="37"/>
        <v>6.64</v>
      </c>
      <c r="AG266" s="83">
        <f t="shared" si="37"/>
        <v>0.87</v>
      </c>
      <c r="AH266" s="83">
        <f t="shared" si="37"/>
        <v>0.06</v>
      </c>
      <c r="AI266" s="83">
        <f t="shared" si="37"/>
        <v>0</v>
      </c>
      <c r="AJ266" s="83">
        <f t="shared" si="37"/>
        <v>0</v>
      </c>
      <c r="AK266" s="83">
        <f t="shared" si="37"/>
        <v>0.1</v>
      </c>
      <c r="AL266" s="83">
        <f t="shared" si="37"/>
        <v>0</v>
      </c>
      <c r="AM266" s="83">
        <f t="shared" si="37"/>
        <v>0.16</v>
      </c>
      <c r="AN266" s="83">
        <f t="shared" si="37"/>
        <v>0.97</v>
      </c>
      <c r="AO266" s="83">
        <f t="shared" si="37"/>
        <v>1.94</v>
      </c>
      <c r="AP266" s="83">
        <f t="shared" si="37"/>
        <v>0</v>
      </c>
      <c r="AQ266" s="83">
        <f t="shared" si="37"/>
        <v>18.100000000000001</v>
      </c>
      <c r="AR266" s="83">
        <f t="shared" si="37"/>
        <v>9.1399999999999988</v>
      </c>
      <c r="AS266" s="83">
        <f t="shared" si="37"/>
        <v>0</v>
      </c>
      <c r="AT266" s="83">
        <f t="shared" si="37"/>
        <v>0</v>
      </c>
      <c r="AU266" s="83">
        <f t="shared" si="37"/>
        <v>0</v>
      </c>
      <c r="AV266" s="83">
        <f t="shared" si="37"/>
        <v>0</v>
      </c>
      <c r="AW266" s="83">
        <f t="shared" si="37"/>
        <v>0.22000000000000003</v>
      </c>
      <c r="AX266" s="83">
        <f t="shared" si="37"/>
        <v>0</v>
      </c>
      <c r="AY266" s="83">
        <f t="shared" si="37"/>
        <v>0</v>
      </c>
      <c r="AZ266" s="83">
        <f t="shared" si="37"/>
        <v>0</v>
      </c>
      <c r="BA266" s="83">
        <f t="shared" si="37"/>
        <v>0</v>
      </c>
      <c r="BB266" s="83">
        <f t="shared" si="37"/>
        <v>0.63</v>
      </c>
      <c r="BC266" s="83">
        <f t="shared" si="37"/>
        <v>38.89</v>
      </c>
      <c r="BD266" s="83">
        <f t="shared" si="37"/>
        <v>47.089999999999996</v>
      </c>
      <c r="BE266" s="83">
        <f t="shared" si="37"/>
        <v>120.23999999999997</v>
      </c>
      <c r="BF266" s="83">
        <f t="shared" si="37"/>
        <v>0.9</v>
      </c>
      <c r="BG266" s="83">
        <f t="shared" si="37"/>
        <v>0</v>
      </c>
      <c r="BH266" s="83">
        <f t="shared" si="37"/>
        <v>0</v>
      </c>
      <c r="BI266" s="83"/>
      <c r="BJ266" s="78">
        <f t="shared" si="35"/>
        <v>0</v>
      </c>
      <c r="BK266" s="84"/>
      <c r="BL266" s="44">
        <v>22</v>
      </c>
      <c r="BM266" s="79">
        <f t="shared" si="29"/>
        <v>-7.0499999999998408</v>
      </c>
      <c r="BN266" s="75"/>
      <c r="BO266" s="75"/>
    </row>
    <row r="267" spans="1:67" x14ac:dyDescent="0.3">
      <c r="A267" s="76" t="s">
        <v>621</v>
      </c>
      <c r="B267" s="77" t="s">
        <v>622</v>
      </c>
      <c r="C267" s="80" t="s">
        <v>41</v>
      </c>
      <c r="D267" s="81">
        <f t="shared" ref="D267:M267" si="38">SUM(D268,D271,D274:D275,D283,D291,D296,D300:D301,D304:D308,D312:D316,D321:D379,D382,D385:D402,D407:D413,D416:D438)</f>
        <v>668.99000000000046</v>
      </c>
      <c r="E267" s="81">
        <f t="shared" si="38"/>
        <v>139.60999999999999</v>
      </c>
      <c r="F267" s="81">
        <f t="shared" si="38"/>
        <v>529.38000000000022</v>
      </c>
      <c r="G267" s="81">
        <f t="shared" si="38"/>
        <v>270.01000000000016</v>
      </c>
      <c r="H267" s="81">
        <f t="shared" si="38"/>
        <v>3.5</v>
      </c>
      <c r="I267" s="81">
        <f t="shared" si="38"/>
        <v>0</v>
      </c>
      <c r="J267" s="81">
        <f t="shared" si="38"/>
        <v>255.87</v>
      </c>
      <c r="K267" s="81">
        <f t="shared" si="38"/>
        <v>0</v>
      </c>
      <c r="L267" s="81">
        <f t="shared" si="38"/>
        <v>0</v>
      </c>
      <c r="M267" s="81">
        <f t="shared" si="38"/>
        <v>3193.35</v>
      </c>
      <c r="N267" s="81"/>
      <c r="O267" s="81">
        <f t="shared" ref="O267:BI267" si="39">SUM(O268,O271,O274:O275,O283,O291,O296,O300:O301,O304:O308,O312:O316,O321:O379,O382,O385:O402,O407:O413,O416:O438)</f>
        <v>0</v>
      </c>
      <c r="P267" s="81">
        <f t="shared" si="39"/>
        <v>1.7</v>
      </c>
      <c r="Q267" s="81">
        <f t="shared" si="39"/>
        <v>0</v>
      </c>
      <c r="R267" s="81">
        <f t="shared" si="39"/>
        <v>0</v>
      </c>
      <c r="S267" s="81">
        <f t="shared" si="39"/>
        <v>0</v>
      </c>
      <c r="T267" s="81">
        <f t="shared" si="39"/>
        <v>0</v>
      </c>
      <c r="U267" s="81">
        <f t="shared" si="39"/>
        <v>0</v>
      </c>
      <c r="V267" s="81">
        <f t="shared" si="39"/>
        <v>0</v>
      </c>
      <c r="W267" s="81">
        <f t="shared" si="39"/>
        <v>0</v>
      </c>
      <c r="X267" s="81">
        <f t="shared" si="39"/>
        <v>23.5</v>
      </c>
      <c r="Y267" s="81">
        <f t="shared" si="39"/>
        <v>0</v>
      </c>
      <c r="Z267" s="81">
        <f t="shared" si="39"/>
        <v>63.930000000000021</v>
      </c>
      <c r="AA267" s="81">
        <f t="shared" si="39"/>
        <v>29.529999999999998</v>
      </c>
      <c r="AB267" s="81">
        <f t="shared" si="39"/>
        <v>3.0000000000000004</v>
      </c>
      <c r="AC267" s="81">
        <f t="shared" si="39"/>
        <v>0</v>
      </c>
      <c r="AD267" s="81">
        <f t="shared" si="39"/>
        <v>3.1</v>
      </c>
      <c r="AE267" s="81">
        <f t="shared" si="39"/>
        <v>27.61</v>
      </c>
      <c r="AF267" s="81">
        <f t="shared" si="39"/>
        <v>6.64</v>
      </c>
      <c r="AG267" s="81">
        <f t="shared" si="39"/>
        <v>0</v>
      </c>
      <c r="AH267" s="81">
        <f t="shared" si="39"/>
        <v>0</v>
      </c>
      <c r="AI267" s="81">
        <f t="shared" si="39"/>
        <v>0</v>
      </c>
      <c r="AJ267" s="81">
        <f t="shared" si="39"/>
        <v>0</v>
      </c>
      <c r="AK267" s="81">
        <f t="shared" si="39"/>
        <v>0</v>
      </c>
      <c r="AL267" s="81">
        <f t="shared" si="39"/>
        <v>0</v>
      </c>
      <c r="AM267" s="81">
        <f t="shared" si="39"/>
        <v>0</v>
      </c>
      <c r="AN267" s="81">
        <f t="shared" si="39"/>
        <v>0.95</v>
      </c>
      <c r="AO267" s="81">
        <f t="shared" si="39"/>
        <v>0</v>
      </c>
      <c r="AP267" s="81">
        <f t="shared" si="39"/>
        <v>0</v>
      </c>
      <c r="AQ267" s="81">
        <f t="shared" si="39"/>
        <v>0</v>
      </c>
      <c r="AR267" s="81">
        <f t="shared" si="39"/>
        <v>7.8599999999999994</v>
      </c>
      <c r="AS267" s="81">
        <f t="shared" si="39"/>
        <v>0</v>
      </c>
      <c r="AT267" s="81">
        <f t="shared" si="39"/>
        <v>0</v>
      </c>
      <c r="AU267" s="81">
        <f t="shared" si="39"/>
        <v>0</v>
      </c>
      <c r="AV267" s="81">
        <f t="shared" si="39"/>
        <v>0</v>
      </c>
      <c r="AW267" s="81">
        <f t="shared" si="39"/>
        <v>0</v>
      </c>
      <c r="AX267" s="81">
        <f t="shared" si="39"/>
        <v>0</v>
      </c>
      <c r="AY267" s="81">
        <f t="shared" si="39"/>
        <v>0</v>
      </c>
      <c r="AZ267" s="81">
        <f t="shared" si="39"/>
        <v>0</v>
      </c>
      <c r="BA267" s="81">
        <f t="shared" si="39"/>
        <v>0</v>
      </c>
      <c r="BB267" s="81">
        <f t="shared" si="39"/>
        <v>0.43000000000000005</v>
      </c>
      <c r="BC267" s="81">
        <f t="shared" si="39"/>
        <v>5.2</v>
      </c>
      <c r="BD267" s="81">
        <f t="shared" si="39"/>
        <v>21.389999999999997</v>
      </c>
      <c r="BE267" s="81">
        <f t="shared" si="39"/>
        <v>61.929999999999993</v>
      </c>
      <c r="BF267" s="81">
        <f t="shared" si="39"/>
        <v>0.8</v>
      </c>
      <c r="BG267" s="81">
        <f t="shared" si="39"/>
        <v>0</v>
      </c>
      <c r="BH267" s="81">
        <f t="shared" si="39"/>
        <v>0</v>
      </c>
      <c r="BI267" s="81">
        <f t="shared" si="39"/>
        <v>0</v>
      </c>
      <c r="BJ267" s="78">
        <f t="shared" si="35"/>
        <v>0</v>
      </c>
      <c r="BK267" s="84"/>
      <c r="BL267" s="44">
        <v>22</v>
      </c>
      <c r="BM267" s="79">
        <f t="shared" si="29"/>
        <v>0</v>
      </c>
      <c r="BN267" s="75"/>
      <c r="BO267" s="75"/>
    </row>
    <row r="268" spans="1:67" s="57" customFormat="1" ht="101.25" customHeight="1" x14ac:dyDescent="0.3">
      <c r="A268" s="219">
        <v>1</v>
      </c>
      <c r="B268" s="42" t="s">
        <v>832</v>
      </c>
      <c r="C268" s="43" t="s">
        <v>41</v>
      </c>
      <c r="D268" s="41">
        <v>22.38</v>
      </c>
      <c r="E268" s="41"/>
      <c r="F268" s="41">
        <v>22.38</v>
      </c>
      <c r="G268" s="41">
        <v>8</v>
      </c>
      <c r="H268" s="41"/>
      <c r="I268" s="41"/>
      <c r="J268" s="41">
        <f>F268-G268</f>
        <v>14.379999999999999</v>
      </c>
      <c r="K268" s="42" t="s">
        <v>833</v>
      </c>
      <c r="L268" s="42" t="s">
        <v>833</v>
      </c>
      <c r="M268" s="43" t="s">
        <v>834</v>
      </c>
      <c r="N268" s="210">
        <v>241</v>
      </c>
      <c r="O268" s="43"/>
      <c r="P268" s="97"/>
      <c r="Q268" s="97"/>
      <c r="R268" s="97"/>
      <c r="S268" s="97"/>
      <c r="T268" s="97"/>
      <c r="U268" s="97"/>
      <c r="V268" s="97"/>
      <c r="W268" s="97"/>
      <c r="X268" s="97"/>
      <c r="Y268" s="97"/>
      <c r="Z268" s="97"/>
      <c r="AA268" s="97"/>
      <c r="AB268" s="97">
        <v>0.5</v>
      </c>
      <c r="AC268" s="97"/>
      <c r="AD268" s="97"/>
      <c r="AE268" s="97">
        <v>4</v>
      </c>
      <c r="AF268" s="97">
        <v>6.3</v>
      </c>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v>3.58</v>
      </c>
      <c r="BE268" s="100"/>
      <c r="BF268" s="97"/>
      <c r="BG268" s="97"/>
      <c r="BH268" s="97"/>
      <c r="BI268" s="97"/>
      <c r="BJ268" s="78">
        <f t="shared" si="35"/>
        <v>0</v>
      </c>
      <c r="BK268" s="97"/>
      <c r="BL268" s="97"/>
      <c r="BM268" s="79">
        <f t="shared" si="29"/>
        <v>0</v>
      </c>
      <c r="BN268" s="75" t="s">
        <v>835</v>
      </c>
      <c r="BO268" s="75"/>
    </row>
    <row r="269" spans="1:67" s="62" customFormat="1" ht="93.6" x14ac:dyDescent="0.3">
      <c r="A269" s="220"/>
      <c r="B269" s="42" t="s">
        <v>1252</v>
      </c>
      <c r="C269" s="43" t="s">
        <v>41</v>
      </c>
      <c r="D269" s="41">
        <v>11.32</v>
      </c>
      <c r="E269" s="41"/>
      <c r="F269" s="41">
        <v>11.32</v>
      </c>
      <c r="G269" s="41">
        <v>6</v>
      </c>
      <c r="H269" s="41"/>
      <c r="I269" s="41"/>
      <c r="J269" s="41">
        <f>F269-G269</f>
        <v>5.32</v>
      </c>
      <c r="K269" s="42"/>
      <c r="L269" s="42" t="s">
        <v>233</v>
      </c>
      <c r="M269" s="43"/>
      <c r="N269" s="43"/>
      <c r="O269" s="43"/>
      <c r="P269" s="97"/>
      <c r="Q269" s="97"/>
      <c r="R269" s="97"/>
      <c r="S269" s="97"/>
      <c r="T269" s="97"/>
      <c r="U269" s="97"/>
      <c r="V269" s="97"/>
      <c r="W269" s="97"/>
      <c r="X269" s="97"/>
      <c r="Y269" s="97"/>
      <c r="Z269" s="97"/>
      <c r="AA269" s="97"/>
      <c r="AB269" s="97">
        <v>0.1</v>
      </c>
      <c r="AC269" s="97"/>
      <c r="AD269" s="97"/>
      <c r="AE269" s="97">
        <v>4</v>
      </c>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141">
        <f>J269-AB269-AE269</f>
        <v>1.2200000000000006</v>
      </c>
      <c r="BE269" s="100"/>
      <c r="BF269" s="97"/>
      <c r="BG269" s="97"/>
      <c r="BH269" s="97"/>
      <c r="BI269" s="97"/>
      <c r="BJ269" s="78"/>
      <c r="BK269" s="97"/>
      <c r="BL269" s="97"/>
      <c r="BM269" s="79">
        <f t="shared" si="29"/>
        <v>0</v>
      </c>
      <c r="BN269" s="75"/>
      <c r="BO269" s="75"/>
    </row>
    <row r="270" spans="1:67" s="62" customFormat="1" ht="93.6" x14ac:dyDescent="0.3">
      <c r="A270" s="221"/>
      <c r="B270" s="42" t="s">
        <v>1253</v>
      </c>
      <c r="C270" s="43" t="s">
        <v>41</v>
      </c>
      <c r="D270" s="41">
        <v>11.06</v>
      </c>
      <c r="E270" s="41"/>
      <c r="F270" s="41">
        <v>11.06</v>
      </c>
      <c r="G270" s="41">
        <v>2</v>
      </c>
      <c r="H270" s="41"/>
      <c r="I270" s="41"/>
      <c r="J270" s="41">
        <f>F270-G270</f>
        <v>9.06</v>
      </c>
      <c r="K270" s="42"/>
      <c r="L270" s="42" t="s">
        <v>67</v>
      </c>
      <c r="M270" s="43"/>
      <c r="N270" s="43"/>
      <c r="O270" s="43"/>
      <c r="P270" s="97"/>
      <c r="Q270" s="97"/>
      <c r="R270" s="97"/>
      <c r="S270" s="97"/>
      <c r="T270" s="97"/>
      <c r="U270" s="97"/>
      <c r="V270" s="97"/>
      <c r="W270" s="97"/>
      <c r="X270" s="97"/>
      <c r="Y270" s="97"/>
      <c r="Z270" s="97"/>
      <c r="AA270" s="97"/>
      <c r="AB270" s="97">
        <v>0.4</v>
      </c>
      <c r="AC270" s="97"/>
      <c r="AD270" s="97"/>
      <c r="AE270" s="97"/>
      <c r="AF270" s="97">
        <v>6.3</v>
      </c>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141">
        <f>J270-AB270-AF270</f>
        <v>2.3600000000000003</v>
      </c>
      <c r="BE270" s="100"/>
      <c r="BF270" s="97"/>
      <c r="BG270" s="97"/>
      <c r="BH270" s="97"/>
      <c r="BI270" s="97"/>
      <c r="BJ270" s="78"/>
      <c r="BK270" s="97"/>
      <c r="BL270" s="97"/>
      <c r="BM270" s="79">
        <f t="shared" si="29"/>
        <v>0</v>
      </c>
      <c r="BN270" s="75"/>
      <c r="BO270" s="75"/>
    </row>
    <row r="271" spans="1:67" s="57" customFormat="1" ht="61.5" customHeight="1" x14ac:dyDescent="0.3">
      <c r="A271" s="219">
        <v>2</v>
      </c>
      <c r="B271" s="42" t="s">
        <v>836</v>
      </c>
      <c r="C271" s="43" t="s">
        <v>41</v>
      </c>
      <c r="D271" s="41">
        <v>10.56</v>
      </c>
      <c r="E271" s="41"/>
      <c r="F271" s="41">
        <v>10.56</v>
      </c>
      <c r="G271" s="41">
        <v>5</v>
      </c>
      <c r="H271" s="41"/>
      <c r="I271" s="41"/>
      <c r="J271" s="41">
        <v>5.56</v>
      </c>
      <c r="K271" s="42" t="s">
        <v>837</v>
      </c>
      <c r="L271" s="42" t="s">
        <v>837</v>
      </c>
      <c r="M271" s="43" t="s">
        <v>838</v>
      </c>
      <c r="N271" s="210">
        <v>242</v>
      </c>
      <c r="O271" s="43"/>
      <c r="P271" s="97"/>
      <c r="Q271" s="97"/>
      <c r="R271" s="97"/>
      <c r="S271" s="97"/>
      <c r="T271" s="97"/>
      <c r="U271" s="97"/>
      <c r="V271" s="97"/>
      <c r="W271" s="97"/>
      <c r="X271" s="97"/>
      <c r="Y271" s="97"/>
      <c r="Z271" s="97"/>
      <c r="AA271" s="97"/>
      <c r="AB271" s="97"/>
      <c r="AC271" s="97"/>
      <c r="AD271" s="97"/>
      <c r="AE271" s="97">
        <v>4</v>
      </c>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100">
        <v>1.06</v>
      </c>
      <c r="BF271" s="97">
        <v>0.5</v>
      </c>
      <c r="BG271" s="97"/>
      <c r="BH271" s="97"/>
      <c r="BI271" s="97"/>
      <c r="BJ271" s="78">
        <f t="shared" si="35"/>
        <v>0</v>
      </c>
      <c r="BK271" s="97"/>
      <c r="BL271" s="97"/>
      <c r="BM271" s="79">
        <f t="shared" si="29"/>
        <v>0</v>
      </c>
      <c r="BN271" s="75"/>
      <c r="BO271" s="75"/>
    </row>
    <row r="272" spans="1:67" s="62" customFormat="1" ht="69" customHeight="1" x14ac:dyDescent="0.3">
      <c r="A272" s="220"/>
      <c r="B272" s="42" t="s">
        <v>1254</v>
      </c>
      <c r="C272" s="43" t="s">
        <v>41</v>
      </c>
      <c r="D272" s="41">
        <v>3.52</v>
      </c>
      <c r="E272" s="41"/>
      <c r="F272" s="41">
        <v>3.52</v>
      </c>
      <c r="G272" s="41">
        <v>1.5</v>
      </c>
      <c r="H272" s="41"/>
      <c r="I272" s="41"/>
      <c r="J272" s="41">
        <f>F272-G272</f>
        <v>2.02</v>
      </c>
      <c r="K272" s="42"/>
      <c r="L272" s="42" t="s">
        <v>261</v>
      </c>
      <c r="M272" s="43"/>
      <c r="N272" s="43"/>
      <c r="O272" s="43"/>
      <c r="P272" s="97"/>
      <c r="Q272" s="97"/>
      <c r="R272" s="97"/>
      <c r="S272" s="97"/>
      <c r="T272" s="97"/>
      <c r="U272" s="97"/>
      <c r="V272" s="97"/>
      <c r="W272" s="97"/>
      <c r="X272" s="97"/>
      <c r="Y272" s="97"/>
      <c r="Z272" s="97"/>
      <c r="AA272" s="97"/>
      <c r="AB272" s="97"/>
      <c r="AC272" s="97"/>
      <c r="AD272" s="97"/>
      <c r="AE272" s="97">
        <v>1</v>
      </c>
      <c r="AF272" s="97"/>
      <c r="AG272" s="97"/>
      <c r="AH272" s="97"/>
      <c r="AI272" s="97"/>
      <c r="AJ272" s="97"/>
      <c r="AK272" s="97"/>
      <c r="AL272" s="97"/>
      <c r="AM272" s="97"/>
      <c r="AN272" s="97"/>
      <c r="AO272" s="97"/>
      <c r="AP272" s="97"/>
      <c r="AQ272" s="97"/>
      <c r="AR272" s="97"/>
      <c r="AS272" s="97"/>
      <c r="AT272" s="97"/>
      <c r="AU272" s="97"/>
      <c r="AV272" s="97"/>
      <c r="AW272" s="97"/>
      <c r="AX272" s="97"/>
      <c r="AY272" s="97"/>
      <c r="AZ272" s="97"/>
      <c r="BA272" s="97"/>
      <c r="BB272" s="97"/>
      <c r="BC272" s="97"/>
      <c r="BD272" s="97"/>
      <c r="BE272" s="100">
        <f>J272-AE272</f>
        <v>1.02</v>
      </c>
      <c r="BF272" s="97"/>
      <c r="BG272" s="97"/>
      <c r="BH272" s="97"/>
      <c r="BI272" s="97"/>
      <c r="BJ272" s="78"/>
      <c r="BK272" s="97"/>
      <c r="BL272" s="97"/>
      <c r="BM272" s="79">
        <f t="shared" ref="BM272:BM335" si="40">J272-SUM(V272:BH272)</f>
        <v>0</v>
      </c>
      <c r="BN272" s="75"/>
      <c r="BO272" s="75"/>
    </row>
    <row r="273" spans="1:67" s="62" customFormat="1" ht="75.75" customHeight="1" x14ac:dyDescent="0.3">
      <c r="A273" s="221"/>
      <c r="B273" s="42" t="s">
        <v>1255</v>
      </c>
      <c r="C273" s="43" t="s">
        <v>41</v>
      </c>
      <c r="D273" s="41">
        <f>D271-D272</f>
        <v>7.0400000000000009</v>
      </c>
      <c r="E273" s="41"/>
      <c r="F273" s="41">
        <v>7.04</v>
      </c>
      <c r="G273" s="41">
        <v>3.5</v>
      </c>
      <c r="H273" s="41"/>
      <c r="I273" s="41"/>
      <c r="J273" s="41">
        <f>F273-G273</f>
        <v>3.54</v>
      </c>
      <c r="K273" s="42"/>
      <c r="L273" s="42" t="s">
        <v>294</v>
      </c>
      <c r="M273" s="43"/>
      <c r="N273" s="43"/>
      <c r="O273" s="43"/>
      <c r="P273" s="97"/>
      <c r="Q273" s="97"/>
      <c r="R273" s="97"/>
      <c r="S273" s="97"/>
      <c r="T273" s="97"/>
      <c r="U273" s="97"/>
      <c r="V273" s="97"/>
      <c r="W273" s="97"/>
      <c r="X273" s="97"/>
      <c r="Y273" s="97"/>
      <c r="Z273" s="97"/>
      <c r="AA273" s="97"/>
      <c r="AB273" s="97"/>
      <c r="AC273" s="97"/>
      <c r="AD273" s="97"/>
      <c r="AE273" s="97">
        <v>3</v>
      </c>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100">
        <f>J273-AE273-BF273</f>
        <v>4.0000000000000036E-2</v>
      </c>
      <c r="BF273" s="97">
        <v>0.5</v>
      </c>
      <c r="BG273" s="97"/>
      <c r="BH273" s="97"/>
      <c r="BI273" s="97"/>
      <c r="BJ273" s="78"/>
      <c r="BK273" s="97"/>
      <c r="BL273" s="97"/>
      <c r="BM273" s="79">
        <f t="shared" si="40"/>
        <v>0</v>
      </c>
      <c r="BN273" s="75"/>
      <c r="BO273" s="75"/>
    </row>
    <row r="274" spans="1:67" s="60" customFormat="1" ht="102.75" customHeight="1" x14ac:dyDescent="0.3">
      <c r="A274" s="48">
        <v>3</v>
      </c>
      <c r="B274" s="42" t="s">
        <v>841</v>
      </c>
      <c r="C274" s="43" t="s">
        <v>41</v>
      </c>
      <c r="D274" s="41">
        <v>1</v>
      </c>
      <c r="E274" s="41"/>
      <c r="F274" s="41">
        <v>1</v>
      </c>
      <c r="G274" s="41"/>
      <c r="H274" s="41"/>
      <c r="I274" s="41"/>
      <c r="J274" s="41">
        <v>1</v>
      </c>
      <c r="K274" s="42" t="s">
        <v>67</v>
      </c>
      <c r="L274" s="42" t="s">
        <v>67</v>
      </c>
      <c r="M274" s="43" t="s">
        <v>842</v>
      </c>
      <c r="N274" s="210">
        <v>243</v>
      </c>
      <c r="O274" s="43"/>
      <c r="P274" s="97"/>
      <c r="Q274" s="97"/>
      <c r="R274" s="97"/>
      <c r="S274" s="97"/>
      <c r="T274" s="97"/>
      <c r="U274" s="97"/>
      <c r="V274" s="97"/>
      <c r="W274" s="97"/>
      <c r="X274" s="97"/>
      <c r="Y274" s="97"/>
      <c r="Z274" s="97"/>
      <c r="AA274" s="97"/>
      <c r="AB274" s="97"/>
      <c r="AC274" s="97"/>
      <c r="AD274" s="97"/>
      <c r="AE274" s="97"/>
      <c r="AF274" s="97">
        <v>0.3</v>
      </c>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v>0.2</v>
      </c>
      <c r="BC274" s="97">
        <v>0.5</v>
      </c>
      <c r="BD274" s="97"/>
      <c r="BE274" s="100"/>
      <c r="BF274" s="97"/>
      <c r="BG274" s="97"/>
      <c r="BH274" s="97"/>
      <c r="BI274" s="97"/>
      <c r="BJ274" s="78">
        <f t="shared" si="35"/>
        <v>0</v>
      </c>
      <c r="BK274" s="97"/>
      <c r="BL274" s="97"/>
      <c r="BM274" s="79">
        <f t="shared" si="40"/>
        <v>0</v>
      </c>
      <c r="BN274" s="75"/>
      <c r="BO274" s="75"/>
    </row>
    <row r="275" spans="1:67" s="58" customFormat="1" ht="93.6" x14ac:dyDescent="0.3">
      <c r="A275" s="219">
        <v>4</v>
      </c>
      <c r="B275" s="50" t="s">
        <v>490</v>
      </c>
      <c r="C275" s="48" t="s">
        <v>41</v>
      </c>
      <c r="D275" s="39">
        <v>76.33</v>
      </c>
      <c r="E275" s="39">
        <v>0</v>
      </c>
      <c r="F275" s="39">
        <v>76.33</v>
      </c>
      <c r="G275" s="39">
        <v>62.2</v>
      </c>
      <c r="H275" s="39">
        <v>0</v>
      </c>
      <c r="I275" s="39">
        <v>0</v>
      </c>
      <c r="J275" s="39">
        <v>14.13</v>
      </c>
      <c r="K275" s="101">
        <v>0</v>
      </c>
      <c r="L275" s="42" t="s">
        <v>753</v>
      </c>
      <c r="M275" s="43" t="s">
        <v>754</v>
      </c>
      <c r="N275" s="210">
        <v>244</v>
      </c>
      <c r="O275" s="43"/>
      <c r="P275" s="79">
        <v>0</v>
      </c>
      <c r="Q275" s="79">
        <v>0</v>
      </c>
      <c r="R275" s="79">
        <v>0</v>
      </c>
      <c r="S275" s="79">
        <v>0</v>
      </c>
      <c r="T275" s="79">
        <v>0</v>
      </c>
      <c r="U275" s="79">
        <v>0</v>
      </c>
      <c r="V275" s="79">
        <v>0</v>
      </c>
      <c r="W275" s="79">
        <v>0</v>
      </c>
      <c r="X275" s="79">
        <v>0</v>
      </c>
      <c r="Y275" s="79">
        <v>0</v>
      </c>
      <c r="Z275" s="79">
        <v>2.94</v>
      </c>
      <c r="AA275" s="79">
        <v>0.5</v>
      </c>
      <c r="AB275" s="79">
        <v>0.6</v>
      </c>
      <c r="AC275" s="79">
        <v>0</v>
      </c>
      <c r="AD275" s="79">
        <v>0.6</v>
      </c>
      <c r="AE275" s="79">
        <v>3.8600000000000003</v>
      </c>
      <c r="AF275" s="79">
        <v>0</v>
      </c>
      <c r="AG275" s="79">
        <v>0</v>
      </c>
      <c r="AH275" s="79">
        <v>0</v>
      </c>
      <c r="AI275" s="79">
        <v>0</v>
      </c>
      <c r="AJ275" s="79">
        <v>0</v>
      </c>
      <c r="AK275" s="79">
        <v>0</v>
      </c>
      <c r="AL275" s="79">
        <v>0</v>
      </c>
      <c r="AM275" s="79">
        <v>0</v>
      </c>
      <c r="AN275" s="79">
        <v>0</v>
      </c>
      <c r="AO275" s="79">
        <v>0</v>
      </c>
      <c r="AP275" s="79">
        <v>0</v>
      </c>
      <c r="AQ275" s="79"/>
      <c r="AR275" s="79">
        <v>2.34</v>
      </c>
      <c r="AS275" s="79">
        <v>0</v>
      </c>
      <c r="AT275" s="79">
        <v>0</v>
      </c>
      <c r="AU275" s="79">
        <v>0</v>
      </c>
      <c r="AV275" s="79">
        <v>0</v>
      </c>
      <c r="AW275" s="79">
        <v>0</v>
      </c>
      <c r="AX275" s="79">
        <v>0</v>
      </c>
      <c r="AY275" s="79">
        <v>0</v>
      </c>
      <c r="AZ275" s="79">
        <v>0</v>
      </c>
      <c r="BA275" s="79">
        <v>0</v>
      </c>
      <c r="BB275" s="79">
        <v>0.23</v>
      </c>
      <c r="BC275" s="79">
        <v>0</v>
      </c>
      <c r="BD275" s="79">
        <v>0</v>
      </c>
      <c r="BE275" s="79">
        <v>2.76</v>
      </c>
      <c r="BF275" s="79">
        <v>0.3</v>
      </c>
      <c r="BG275" s="79">
        <v>0</v>
      </c>
      <c r="BH275" s="79">
        <v>0</v>
      </c>
      <c r="BI275" s="79"/>
      <c r="BJ275" s="78">
        <f t="shared" si="35"/>
        <v>0</v>
      </c>
      <c r="BK275" s="84"/>
      <c r="BL275" s="44">
        <v>22</v>
      </c>
      <c r="BM275" s="79">
        <f t="shared" si="40"/>
        <v>0</v>
      </c>
      <c r="BN275" s="75"/>
      <c r="BO275" s="75"/>
    </row>
    <row r="276" spans="1:67" s="14" customFormat="1" ht="31.2" x14ac:dyDescent="0.3">
      <c r="A276" s="220"/>
      <c r="B276" s="50" t="s">
        <v>1101</v>
      </c>
      <c r="C276" s="39" t="s">
        <v>41</v>
      </c>
      <c r="D276" s="39">
        <v>6.37</v>
      </c>
      <c r="E276" s="39"/>
      <c r="F276" s="39">
        <v>6.37</v>
      </c>
      <c r="G276" s="39">
        <v>2.4300000000000002</v>
      </c>
      <c r="H276" s="39"/>
      <c r="I276" s="39"/>
      <c r="J276" s="39">
        <f t="shared" ref="J276:J277" si="41">SUM(P276:BG276)</f>
        <v>3.94</v>
      </c>
      <c r="K276" s="142" t="s">
        <v>178</v>
      </c>
      <c r="L276" s="50" t="s">
        <v>179</v>
      </c>
      <c r="M276" s="143">
        <v>15</v>
      </c>
      <c r="N276" s="143"/>
      <c r="O276" s="143"/>
      <c r="P276" s="39"/>
      <c r="Q276" s="39"/>
      <c r="R276" s="39"/>
      <c r="S276" s="39"/>
      <c r="T276" s="39"/>
      <c r="U276" s="39"/>
      <c r="V276" s="39"/>
      <c r="W276" s="39"/>
      <c r="X276" s="39"/>
      <c r="Y276" s="39"/>
      <c r="Z276" s="39">
        <v>1.94</v>
      </c>
      <c r="AA276" s="39">
        <v>0.5</v>
      </c>
      <c r="AB276" s="39"/>
      <c r="AC276" s="39"/>
      <c r="AD276" s="39"/>
      <c r="AE276" s="39">
        <v>0.6</v>
      </c>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v>0.9</v>
      </c>
      <c r="BF276" s="39"/>
      <c r="BG276" s="39"/>
      <c r="BH276" s="79"/>
      <c r="BI276" s="79"/>
      <c r="BJ276" s="78"/>
      <c r="BK276" s="84"/>
      <c r="BL276" s="44"/>
      <c r="BM276" s="79">
        <f t="shared" si="40"/>
        <v>0</v>
      </c>
      <c r="BN276" s="75"/>
      <c r="BO276" s="75"/>
    </row>
    <row r="277" spans="1:67" s="14" customFormat="1" ht="39" customHeight="1" x14ac:dyDescent="0.3">
      <c r="A277" s="220"/>
      <c r="B277" s="144" t="s">
        <v>1102</v>
      </c>
      <c r="C277" s="145" t="s">
        <v>41</v>
      </c>
      <c r="D277" s="146">
        <v>18.57</v>
      </c>
      <c r="E277" s="146"/>
      <c r="F277" s="146">
        <v>18.57</v>
      </c>
      <c r="G277" s="145">
        <f>18.57-3.36</f>
        <v>15.21</v>
      </c>
      <c r="H277" s="145"/>
      <c r="I277" s="145"/>
      <c r="J277" s="145">
        <f t="shared" si="41"/>
        <v>3.3600000000000003</v>
      </c>
      <c r="K277" s="145"/>
      <c r="L277" s="144" t="s">
        <v>415</v>
      </c>
      <c r="M277" s="146">
        <v>48</v>
      </c>
      <c r="N277" s="146"/>
      <c r="O277" s="146"/>
      <c r="P277" s="145"/>
      <c r="Q277" s="145"/>
      <c r="R277" s="145"/>
      <c r="S277" s="145"/>
      <c r="T277" s="145"/>
      <c r="U277" s="145"/>
      <c r="V277" s="145"/>
      <c r="W277" s="145"/>
      <c r="X277" s="145"/>
      <c r="Y277" s="145"/>
      <c r="Z277" s="145">
        <v>1</v>
      </c>
      <c r="AA277" s="145"/>
      <c r="AB277" s="145"/>
      <c r="AC277" s="145"/>
      <c r="AD277" s="145">
        <v>0.6</v>
      </c>
      <c r="AE277" s="145">
        <f>0.22+0.3+0.06+0.35+0.23+0.3</f>
        <v>1.4600000000000002</v>
      </c>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v>0.3</v>
      </c>
      <c r="BG277" s="145"/>
      <c r="BH277" s="145"/>
      <c r="BI277" s="145">
        <f t="shared" ref="BI277" si="42">F277-SUM(G277:I277,V277:BG277)</f>
        <v>0</v>
      </c>
      <c r="BJ277" s="78"/>
      <c r="BK277" s="84"/>
      <c r="BL277" s="44"/>
      <c r="BM277" s="79">
        <f t="shared" si="40"/>
        <v>0</v>
      </c>
      <c r="BN277" s="75"/>
      <c r="BO277" s="75"/>
    </row>
    <row r="278" spans="1:67" s="14" customFormat="1" ht="30" customHeight="1" x14ac:dyDescent="0.3">
      <c r="A278" s="220"/>
      <c r="B278" s="144" t="s">
        <v>1104</v>
      </c>
      <c r="C278" s="93" t="s">
        <v>41</v>
      </c>
      <c r="D278" s="134">
        <f>10.11+12.38</f>
        <v>22.490000000000002</v>
      </c>
      <c r="E278" s="134"/>
      <c r="F278" s="134">
        <f>10.11+12.38</f>
        <v>22.490000000000002</v>
      </c>
      <c r="G278" s="134">
        <f>22.49-1.53</f>
        <v>20.959999999999997</v>
      </c>
      <c r="H278" s="134"/>
      <c r="I278" s="134"/>
      <c r="J278" s="134">
        <f t="shared" ref="J278" si="43">SUM(Z278:BG278)</f>
        <v>1.53</v>
      </c>
      <c r="K278" s="93"/>
      <c r="L278" s="54" t="s">
        <v>294</v>
      </c>
      <c r="M278" s="127">
        <v>48</v>
      </c>
      <c r="N278" s="127"/>
      <c r="O278" s="127"/>
      <c r="P278" s="93"/>
      <c r="Q278" s="93"/>
      <c r="R278" s="93"/>
      <c r="S278" s="93"/>
      <c r="T278" s="93"/>
      <c r="U278" s="93"/>
      <c r="V278" s="93"/>
      <c r="W278" s="93"/>
      <c r="X278" s="93"/>
      <c r="Y278" s="93"/>
      <c r="Z278" s="133"/>
      <c r="AA278" s="133"/>
      <c r="AB278" s="133"/>
      <c r="AC278" s="133"/>
      <c r="AD278" s="133"/>
      <c r="AE278" s="133">
        <v>1.1000000000000001</v>
      </c>
      <c r="AF278" s="133"/>
      <c r="AG278" s="133"/>
      <c r="AH278" s="133"/>
      <c r="AI278" s="133"/>
      <c r="AJ278" s="133"/>
      <c r="AK278" s="133"/>
      <c r="AL278" s="133"/>
      <c r="AM278" s="133"/>
      <c r="AN278" s="133"/>
      <c r="AO278" s="133"/>
      <c r="AP278" s="133"/>
      <c r="AQ278" s="133"/>
      <c r="AR278" s="133"/>
      <c r="AS278" s="133"/>
      <c r="AT278" s="133"/>
      <c r="AU278" s="133"/>
      <c r="AV278" s="133"/>
      <c r="AW278" s="133"/>
      <c r="AX278" s="133"/>
      <c r="AY278" s="133"/>
      <c r="AZ278" s="133"/>
      <c r="BA278" s="133"/>
      <c r="BB278" s="133">
        <v>0.23</v>
      </c>
      <c r="BC278" s="133"/>
      <c r="BD278" s="133"/>
      <c r="BE278" s="133">
        <v>0.2</v>
      </c>
      <c r="BF278" s="79"/>
      <c r="BG278" s="79"/>
      <c r="BH278" s="79"/>
      <c r="BI278" s="79"/>
      <c r="BJ278" s="78"/>
      <c r="BK278" s="84"/>
      <c r="BL278" s="44"/>
      <c r="BM278" s="79">
        <f t="shared" si="40"/>
        <v>0</v>
      </c>
      <c r="BN278" s="75"/>
      <c r="BO278" s="75"/>
    </row>
    <row r="279" spans="1:67" s="14" customFormat="1" ht="27.6" x14ac:dyDescent="0.3">
      <c r="A279" s="220"/>
      <c r="B279" s="144" t="s">
        <v>1107</v>
      </c>
      <c r="C279" s="53" t="s">
        <v>41</v>
      </c>
      <c r="D279" s="127">
        <v>0.32</v>
      </c>
      <c r="E279" s="127"/>
      <c r="F279" s="127">
        <v>0.32</v>
      </c>
      <c r="G279" s="127"/>
      <c r="H279" s="127"/>
      <c r="I279" s="127"/>
      <c r="J279" s="127">
        <v>0.32</v>
      </c>
      <c r="K279" s="53" t="s">
        <v>247</v>
      </c>
      <c r="L279" s="54" t="s">
        <v>247</v>
      </c>
      <c r="M279" s="127">
        <v>47</v>
      </c>
      <c r="N279" s="127"/>
      <c r="O279" s="12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7"/>
      <c r="AL279" s="147"/>
      <c r="AM279" s="147"/>
      <c r="AN279" s="147"/>
      <c r="AO279" s="147"/>
      <c r="AP279" s="147"/>
      <c r="AQ279" s="147"/>
      <c r="AR279" s="127">
        <v>0.04</v>
      </c>
      <c r="AS279" s="127"/>
      <c r="AT279" s="127"/>
      <c r="AU279" s="127"/>
      <c r="AV279" s="127"/>
      <c r="AW279" s="127"/>
      <c r="AX279" s="127"/>
      <c r="AY279" s="127"/>
      <c r="AZ279" s="127"/>
      <c r="BA279" s="127"/>
      <c r="BB279" s="127"/>
      <c r="BC279" s="127"/>
      <c r="BD279" s="127"/>
      <c r="BE279" s="127">
        <v>0.28000000000000003</v>
      </c>
      <c r="BF279" s="147"/>
      <c r="BG279" s="147"/>
      <c r="BH279" s="147"/>
      <c r="BI279" s="79"/>
      <c r="BJ279" s="78"/>
      <c r="BK279" s="84"/>
      <c r="BL279" s="44"/>
      <c r="BM279" s="79">
        <f t="shared" si="40"/>
        <v>0</v>
      </c>
      <c r="BN279" s="75"/>
      <c r="BO279" s="75"/>
    </row>
    <row r="280" spans="1:67" s="14" customFormat="1" ht="46.8" x14ac:dyDescent="0.3">
      <c r="A280" s="220"/>
      <c r="B280" s="144" t="s">
        <v>1109</v>
      </c>
      <c r="C280" s="53" t="s">
        <v>41</v>
      </c>
      <c r="D280" s="148">
        <v>15.3</v>
      </c>
      <c r="E280" s="127"/>
      <c r="F280" s="148">
        <v>15.3</v>
      </c>
      <c r="G280" s="149">
        <v>12</v>
      </c>
      <c r="H280" s="93"/>
      <c r="I280" s="93"/>
      <c r="J280" s="93">
        <v>3.3</v>
      </c>
      <c r="K280" s="54" t="s">
        <v>1108</v>
      </c>
      <c r="L280" s="54" t="s">
        <v>261</v>
      </c>
      <c r="M280" s="53">
        <v>17</v>
      </c>
      <c r="N280" s="53"/>
      <c r="O280" s="53"/>
      <c r="P280" s="53"/>
      <c r="Q280" s="93"/>
      <c r="R280" s="93"/>
      <c r="S280" s="93"/>
      <c r="T280" s="93"/>
      <c r="U280" s="93"/>
      <c r="V280" s="93"/>
      <c r="W280" s="93"/>
      <c r="X280" s="93"/>
      <c r="Y280" s="93"/>
      <c r="Z280" s="93"/>
      <c r="AA280" s="93"/>
      <c r="AB280" s="93">
        <v>0.6</v>
      </c>
      <c r="AC280" s="93"/>
      <c r="AD280" s="93"/>
      <c r="AE280" s="93">
        <v>0.7</v>
      </c>
      <c r="AF280" s="93"/>
      <c r="AG280" s="93"/>
      <c r="AH280" s="93"/>
      <c r="AI280" s="93"/>
      <c r="AJ280" s="93"/>
      <c r="AK280" s="93"/>
      <c r="AL280" s="93"/>
      <c r="AM280" s="93"/>
      <c r="AN280" s="93"/>
      <c r="AO280" s="93"/>
      <c r="AP280" s="93"/>
      <c r="AQ280" s="93"/>
      <c r="AR280" s="93">
        <v>1.3</v>
      </c>
      <c r="AS280" s="93"/>
      <c r="AT280" s="93"/>
      <c r="AU280" s="93"/>
      <c r="AV280" s="93"/>
      <c r="AW280" s="93"/>
      <c r="AX280" s="93"/>
      <c r="AY280" s="93"/>
      <c r="AZ280" s="93"/>
      <c r="BA280" s="93"/>
      <c r="BB280" s="93"/>
      <c r="BC280" s="93"/>
      <c r="BD280" s="93"/>
      <c r="BE280" s="93">
        <v>0.7</v>
      </c>
      <c r="BF280" s="93"/>
      <c r="BG280" s="93"/>
      <c r="BH280" s="93"/>
      <c r="BI280" s="79"/>
      <c r="BJ280" s="78"/>
      <c r="BK280" s="84"/>
      <c r="BL280" s="44"/>
      <c r="BM280" s="79">
        <f t="shared" si="40"/>
        <v>0</v>
      </c>
      <c r="BN280" s="75"/>
      <c r="BO280" s="75"/>
    </row>
    <row r="281" spans="1:67" s="14" customFormat="1" ht="27.6" x14ac:dyDescent="0.3">
      <c r="A281" s="220"/>
      <c r="B281" s="144" t="s">
        <v>1111</v>
      </c>
      <c r="C281" s="53" t="s">
        <v>41</v>
      </c>
      <c r="D281" s="150">
        <v>1.6800000000000002</v>
      </c>
      <c r="E281" s="53"/>
      <c r="F281" s="142">
        <v>1.6800000000000002</v>
      </c>
      <c r="G281" s="53">
        <v>1</v>
      </c>
      <c r="H281" s="53"/>
      <c r="I281" s="151"/>
      <c r="J281" s="142">
        <v>0.68</v>
      </c>
      <c r="K281" s="152" t="s">
        <v>67</v>
      </c>
      <c r="L281" s="152" t="s">
        <v>67</v>
      </c>
      <c r="M281" s="53">
        <v>47</v>
      </c>
      <c r="N281" s="53"/>
      <c r="O281" s="53"/>
      <c r="P281" s="153"/>
      <c r="Q281" s="133"/>
      <c r="R281" s="133"/>
      <c r="S281" s="133"/>
      <c r="T281" s="133"/>
      <c r="U281" s="133"/>
      <c r="V281" s="133"/>
      <c r="W281" s="133"/>
      <c r="X281" s="133"/>
      <c r="Y281" s="133"/>
      <c r="Z281" s="133"/>
      <c r="AA281" s="133"/>
      <c r="AB281" s="133"/>
      <c r="AC281" s="133"/>
      <c r="AD281" s="133"/>
      <c r="AE281" s="9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v>0.68</v>
      </c>
      <c r="BF281" s="133"/>
      <c r="BG281" s="133"/>
      <c r="BH281" s="79"/>
      <c r="BI281" s="79"/>
      <c r="BJ281" s="78"/>
      <c r="BK281" s="84"/>
      <c r="BL281" s="44"/>
      <c r="BM281" s="79">
        <f t="shared" si="40"/>
        <v>0</v>
      </c>
      <c r="BN281" s="75"/>
      <c r="BO281" s="75"/>
    </row>
    <row r="282" spans="1:67" s="14" customFormat="1" ht="27.6" x14ac:dyDescent="0.3">
      <c r="A282" s="221"/>
      <c r="B282" s="144" t="s">
        <v>1113</v>
      </c>
      <c r="C282" s="127" t="s">
        <v>41</v>
      </c>
      <c r="D282" s="127">
        <v>11.6</v>
      </c>
      <c r="E282" s="127"/>
      <c r="F282" s="127">
        <v>11.6</v>
      </c>
      <c r="G282" s="93">
        <v>10.6</v>
      </c>
      <c r="H282" s="93"/>
      <c r="I282" s="93"/>
      <c r="J282" s="93">
        <v>1</v>
      </c>
      <c r="K282" s="154" t="s">
        <v>1112</v>
      </c>
      <c r="L282" s="53" t="s">
        <v>233</v>
      </c>
      <c r="M282" s="127">
        <v>22</v>
      </c>
      <c r="N282" s="127"/>
      <c r="O282" s="53"/>
      <c r="P282" s="93"/>
      <c r="Q282" s="93"/>
      <c r="R282" s="93"/>
      <c r="S282" s="93"/>
      <c r="T282" s="93"/>
      <c r="U282" s="93"/>
      <c r="V282" s="93"/>
      <c r="W282" s="93"/>
      <c r="X282" s="93"/>
      <c r="Y282" s="93"/>
      <c r="Z282" s="93"/>
      <c r="AA282" s="93"/>
      <c r="AB282" s="93"/>
      <c r="AC282" s="93"/>
      <c r="AD282" s="93"/>
      <c r="AE282" s="93"/>
      <c r="AF282" s="93"/>
      <c r="AG282" s="93"/>
      <c r="AH282" s="93"/>
      <c r="AI282" s="93"/>
      <c r="AJ282" s="93"/>
      <c r="AK282" s="93"/>
      <c r="AL282" s="93"/>
      <c r="AM282" s="93"/>
      <c r="AN282" s="93"/>
      <c r="AO282" s="93"/>
      <c r="AP282" s="93"/>
      <c r="AQ282" s="93"/>
      <c r="AR282" s="93">
        <v>1</v>
      </c>
      <c r="AS282" s="93"/>
      <c r="AT282" s="93"/>
      <c r="AU282" s="93"/>
      <c r="AV282" s="93"/>
      <c r="AW282" s="93"/>
      <c r="AX282" s="93"/>
      <c r="AY282" s="93"/>
      <c r="AZ282" s="93"/>
      <c r="BA282" s="93"/>
      <c r="BB282" s="93"/>
      <c r="BC282" s="93"/>
      <c r="BD282" s="93"/>
      <c r="BE282" s="93"/>
      <c r="BF282" s="93"/>
      <c r="BG282" s="93"/>
      <c r="BH282" s="79"/>
      <c r="BI282" s="79"/>
      <c r="BJ282" s="78"/>
      <c r="BK282" s="84"/>
      <c r="BL282" s="44"/>
      <c r="BM282" s="79">
        <f t="shared" si="40"/>
        <v>0</v>
      </c>
      <c r="BN282" s="75"/>
      <c r="BO282" s="75"/>
    </row>
    <row r="283" spans="1:67" s="56" customFormat="1" ht="109.2" x14ac:dyDescent="0.3">
      <c r="A283" s="219">
        <v>5</v>
      </c>
      <c r="B283" s="42" t="s">
        <v>701</v>
      </c>
      <c r="C283" s="43" t="s">
        <v>41</v>
      </c>
      <c r="D283" s="39">
        <v>91.539999999999992</v>
      </c>
      <c r="E283" s="39">
        <v>0</v>
      </c>
      <c r="F283" s="39">
        <v>91.539999999999992</v>
      </c>
      <c r="G283" s="39">
        <v>80.210000000000008</v>
      </c>
      <c r="H283" s="39">
        <v>0</v>
      </c>
      <c r="I283" s="39">
        <v>0</v>
      </c>
      <c r="J283" s="39">
        <v>11.329999999999998</v>
      </c>
      <c r="K283" s="42"/>
      <c r="L283" s="42" t="s">
        <v>702</v>
      </c>
      <c r="M283" s="43" t="s">
        <v>703</v>
      </c>
      <c r="N283" s="210">
        <v>245</v>
      </c>
      <c r="O283" s="43"/>
      <c r="P283" s="84">
        <v>0</v>
      </c>
      <c r="Q283" s="84">
        <v>0</v>
      </c>
      <c r="R283" s="84">
        <v>0</v>
      </c>
      <c r="S283" s="84">
        <v>0</v>
      </c>
      <c r="T283" s="84">
        <v>0</v>
      </c>
      <c r="U283" s="84">
        <v>0</v>
      </c>
      <c r="V283" s="84">
        <v>0</v>
      </c>
      <c r="W283" s="84">
        <v>0</v>
      </c>
      <c r="X283" s="84">
        <v>0</v>
      </c>
      <c r="Y283" s="84">
        <v>0</v>
      </c>
      <c r="Z283" s="84">
        <v>0.27</v>
      </c>
      <c r="AA283" s="84">
        <v>0.1</v>
      </c>
      <c r="AB283" s="84">
        <v>0.5</v>
      </c>
      <c r="AC283" s="84">
        <v>0</v>
      </c>
      <c r="AD283" s="84">
        <v>0</v>
      </c>
      <c r="AE283" s="84">
        <v>3.13</v>
      </c>
      <c r="AF283" s="84">
        <v>0</v>
      </c>
      <c r="AG283" s="84">
        <v>0</v>
      </c>
      <c r="AH283" s="84">
        <v>0</v>
      </c>
      <c r="AI283" s="84">
        <v>0</v>
      </c>
      <c r="AJ283" s="84">
        <v>0</v>
      </c>
      <c r="AK283" s="84">
        <v>0</v>
      </c>
      <c r="AL283" s="84">
        <v>0</v>
      </c>
      <c r="AM283" s="84">
        <v>0</v>
      </c>
      <c r="AN283" s="84">
        <v>0.95</v>
      </c>
      <c r="AO283" s="84">
        <v>0</v>
      </c>
      <c r="AP283" s="84">
        <v>0</v>
      </c>
      <c r="AQ283" s="84"/>
      <c r="AR283" s="84">
        <v>3.8</v>
      </c>
      <c r="AS283" s="84">
        <v>0</v>
      </c>
      <c r="AT283" s="84">
        <v>0</v>
      </c>
      <c r="AU283" s="84">
        <v>0</v>
      </c>
      <c r="AV283" s="84">
        <v>0</v>
      </c>
      <c r="AW283" s="84">
        <v>0</v>
      </c>
      <c r="AX283" s="84">
        <v>0</v>
      </c>
      <c r="AY283" s="84">
        <v>0</v>
      </c>
      <c r="AZ283" s="84">
        <v>0</v>
      </c>
      <c r="BA283" s="84">
        <v>0</v>
      </c>
      <c r="BB283" s="84">
        <v>0</v>
      </c>
      <c r="BC283" s="84">
        <v>0</v>
      </c>
      <c r="BD283" s="84">
        <v>0</v>
      </c>
      <c r="BE283" s="84">
        <v>2.58</v>
      </c>
      <c r="BF283" s="84">
        <v>0</v>
      </c>
      <c r="BG283" s="84">
        <v>0</v>
      </c>
      <c r="BH283" s="84">
        <v>0</v>
      </c>
      <c r="BI283" s="84"/>
      <c r="BJ283" s="78">
        <f t="shared" si="35"/>
        <v>0</v>
      </c>
      <c r="BK283" s="84"/>
      <c r="BL283" s="44">
        <v>22</v>
      </c>
      <c r="BM283" s="79">
        <f t="shared" si="40"/>
        <v>0</v>
      </c>
      <c r="BN283" s="75"/>
      <c r="BO283" s="75"/>
    </row>
    <row r="284" spans="1:67" s="14" customFormat="1" ht="51" customHeight="1" x14ac:dyDescent="0.3">
      <c r="A284" s="220"/>
      <c r="B284" s="42" t="s">
        <v>1103</v>
      </c>
      <c r="C284" s="146" t="s">
        <v>41</v>
      </c>
      <c r="D284" s="146">
        <v>5.65</v>
      </c>
      <c r="E284" s="146"/>
      <c r="F284" s="146">
        <v>5.65</v>
      </c>
      <c r="G284" s="145">
        <v>5.65</v>
      </c>
      <c r="H284" s="145"/>
      <c r="I284" s="145"/>
      <c r="J284" s="145">
        <f t="shared" ref="J284" si="44">SUM(P284:BG284)</f>
        <v>0</v>
      </c>
      <c r="K284" s="145"/>
      <c r="L284" s="144" t="s">
        <v>415</v>
      </c>
      <c r="M284" s="146">
        <v>49</v>
      </c>
      <c r="N284" s="146"/>
      <c r="O284" s="146"/>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84"/>
      <c r="BJ284" s="78"/>
      <c r="BK284" s="84"/>
      <c r="BL284" s="44"/>
      <c r="BM284" s="79">
        <f t="shared" si="40"/>
        <v>0</v>
      </c>
      <c r="BN284" s="75"/>
      <c r="BO284" s="75"/>
    </row>
    <row r="285" spans="1:67" s="14" customFormat="1" ht="51" customHeight="1" x14ac:dyDescent="0.3">
      <c r="A285" s="220"/>
      <c r="B285" s="42" t="s">
        <v>1105</v>
      </c>
      <c r="C285" s="127" t="s">
        <v>41</v>
      </c>
      <c r="D285" s="134">
        <f>25.82-2.1</f>
        <v>23.72</v>
      </c>
      <c r="E285" s="134"/>
      <c r="F285" s="134">
        <f>25.82-2.1</f>
        <v>23.72</v>
      </c>
      <c r="G285" s="134">
        <v>23.72</v>
      </c>
      <c r="H285" s="134"/>
      <c r="I285" s="134"/>
      <c r="J285" s="134">
        <f t="shared" ref="J285" si="45">SUM(Z285:BG285)</f>
        <v>0</v>
      </c>
      <c r="K285" s="155"/>
      <c r="L285" s="54" t="s">
        <v>294</v>
      </c>
      <c r="M285" s="127">
        <v>47</v>
      </c>
      <c r="N285" s="127"/>
      <c r="O285" s="127"/>
      <c r="P285" s="93"/>
      <c r="Q285" s="93"/>
      <c r="R285" s="93"/>
      <c r="S285" s="93"/>
      <c r="T285" s="93"/>
      <c r="U285" s="93"/>
      <c r="V285" s="93"/>
      <c r="W285" s="93"/>
      <c r="X285" s="93"/>
      <c r="Y285" s="9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3"/>
      <c r="AZ285" s="133"/>
      <c r="BA285" s="133"/>
      <c r="BB285" s="133"/>
      <c r="BC285" s="133"/>
      <c r="BD285" s="133"/>
      <c r="BE285" s="133"/>
      <c r="BF285" s="133"/>
      <c r="BG285" s="133"/>
      <c r="BH285" s="145"/>
      <c r="BI285" s="84"/>
      <c r="BJ285" s="78"/>
      <c r="BK285" s="84"/>
      <c r="BL285" s="44"/>
      <c r="BM285" s="79">
        <f t="shared" si="40"/>
        <v>0</v>
      </c>
      <c r="BN285" s="75"/>
      <c r="BO285" s="75"/>
    </row>
    <row r="286" spans="1:67" s="14" customFormat="1" ht="51" customHeight="1" x14ac:dyDescent="0.3">
      <c r="A286" s="220"/>
      <c r="B286" s="42" t="s">
        <v>1106</v>
      </c>
      <c r="C286" s="53" t="s">
        <v>41</v>
      </c>
      <c r="D286" s="108">
        <v>2.6</v>
      </c>
      <c r="E286" s="108"/>
      <c r="F286" s="108">
        <v>2.6</v>
      </c>
      <c r="G286" s="108">
        <v>2.1</v>
      </c>
      <c r="H286" s="108"/>
      <c r="I286" s="108"/>
      <c r="J286" s="108">
        <v>0.5</v>
      </c>
      <c r="K286" s="54" t="s">
        <v>247</v>
      </c>
      <c r="L286" s="54" t="s">
        <v>247</v>
      </c>
      <c r="M286" s="53">
        <v>30</v>
      </c>
      <c r="N286" s="53"/>
      <c r="O286" s="53"/>
      <c r="P286" s="93"/>
      <c r="Q286" s="93"/>
      <c r="R286" s="93"/>
      <c r="S286" s="93"/>
      <c r="T286" s="93"/>
      <c r="U286" s="93"/>
      <c r="V286" s="93"/>
      <c r="W286" s="93"/>
      <c r="X286" s="93"/>
      <c r="Y286" s="93"/>
      <c r="Z286" s="93">
        <v>0.27</v>
      </c>
      <c r="AA286" s="93"/>
      <c r="AB286" s="93"/>
      <c r="AC286" s="93"/>
      <c r="AD286" s="93"/>
      <c r="AE286" s="93"/>
      <c r="AF286" s="93"/>
      <c r="AG286" s="93"/>
      <c r="AH286" s="93"/>
      <c r="AI286" s="93"/>
      <c r="AJ286" s="93"/>
      <c r="AK286" s="93"/>
      <c r="AL286" s="93"/>
      <c r="AM286" s="93"/>
      <c r="AN286" s="93"/>
      <c r="AO286" s="93"/>
      <c r="AP286" s="93"/>
      <c r="AQ286" s="93"/>
      <c r="AR286" s="93"/>
      <c r="AS286" s="93"/>
      <c r="AT286" s="93"/>
      <c r="AU286" s="93"/>
      <c r="AV286" s="93"/>
      <c r="AW286" s="93"/>
      <c r="AX286" s="93"/>
      <c r="AY286" s="93"/>
      <c r="AZ286" s="93"/>
      <c r="BA286" s="93"/>
      <c r="BB286" s="93"/>
      <c r="BC286" s="93"/>
      <c r="BD286" s="93"/>
      <c r="BE286" s="93">
        <v>0.23</v>
      </c>
      <c r="BF286" s="93"/>
      <c r="BG286" s="93"/>
      <c r="BH286" s="93"/>
      <c r="BI286" s="84"/>
      <c r="BJ286" s="78"/>
      <c r="BK286" s="84"/>
      <c r="BL286" s="44"/>
      <c r="BM286" s="79">
        <f t="shared" si="40"/>
        <v>0</v>
      </c>
      <c r="BN286" s="75"/>
      <c r="BO286" s="75"/>
    </row>
    <row r="287" spans="1:67" s="14" customFormat="1" ht="51" customHeight="1" x14ac:dyDescent="0.3">
      <c r="A287" s="220"/>
      <c r="B287" s="42" t="s">
        <v>1110</v>
      </c>
      <c r="C287" s="53" t="s">
        <v>41</v>
      </c>
      <c r="D287" s="127">
        <v>12.03</v>
      </c>
      <c r="E287" s="127"/>
      <c r="F287" s="127">
        <v>12.03</v>
      </c>
      <c r="G287" s="149">
        <v>10.23</v>
      </c>
      <c r="H287" s="93"/>
      <c r="I287" s="93"/>
      <c r="J287" s="93">
        <v>1.8</v>
      </c>
      <c r="K287" s="54" t="s">
        <v>1108</v>
      </c>
      <c r="L287" s="54" t="s">
        <v>261</v>
      </c>
      <c r="M287" s="53">
        <v>16</v>
      </c>
      <c r="N287" s="53"/>
      <c r="O287" s="53"/>
      <c r="P287" s="5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v>0.8</v>
      </c>
      <c r="AS287" s="93"/>
      <c r="AT287" s="93"/>
      <c r="AU287" s="93"/>
      <c r="AV287" s="93"/>
      <c r="AW287" s="93"/>
      <c r="AX287" s="93"/>
      <c r="AY287" s="93"/>
      <c r="AZ287" s="93"/>
      <c r="BA287" s="93"/>
      <c r="BB287" s="93"/>
      <c r="BC287" s="93"/>
      <c r="BD287" s="93"/>
      <c r="BE287" s="93">
        <v>1</v>
      </c>
      <c r="BF287" s="93"/>
      <c r="BG287" s="133"/>
      <c r="BH287" s="145"/>
      <c r="BI287" s="84"/>
      <c r="BJ287" s="78"/>
      <c r="BK287" s="84"/>
      <c r="BL287" s="44"/>
      <c r="BM287" s="79">
        <f t="shared" si="40"/>
        <v>0</v>
      </c>
      <c r="BN287" s="75"/>
      <c r="BO287" s="75"/>
    </row>
    <row r="288" spans="1:67" s="14" customFormat="1" ht="51" customHeight="1" x14ac:dyDescent="0.3">
      <c r="A288" s="220"/>
      <c r="B288" s="42" t="s">
        <v>1114</v>
      </c>
      <c r="C288" s="127" t="s">
        <v>41</v>
      </c>
      <c r="D288" s="127">
        <v>25.02</v>
      </c>
      <c r="E288" s="127"/>
      <c r="F288" s="127">
        <v>25.02</v>
      </c>
      <c r="G288" s="93">
        <v>22.02</v>
      </c>
      <c r="H288" s="93"/>
      <c r="I288" s="93"/>
      <c r="J288" s="93">
        <v>3</v>
      </c>
      <c r="K288" s="129" t="s">
        <v>1112</v>
      </c>
      <c r="L288" s="53" t="s">
        <v>233</v>
      </c>
      <c r="M288" s="127">
        <v>21</v>
      </c>
      <c r="N288" s="127"/>
      <c r="O288" s="5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v>3</v>
      </c>
      <c r="AS288" s="93"/>
      <c r="AT288" s="93"/>
      <c r="AU288" s="93"/>
      <c r="AV288" s="93"/>
      <c r="AW288" s="93"/>
      <c r="AX288" s="93"/>
      <c r="AY288" s="93"/>
      <c r="AZ288" s="93"/>
      <c r="BA288" s="93"/>
      <c r="BB288" s="93"/>
      <c r="BC288" s="93"/>
      <c r="BD288" s="93"/>
      <c r="BE288" s="93"/>
      <c r="BF288" s="93"/>
      <c r="BG288" s="93"/>
      <c r="BH288" s="145"/>
      <c r="BI288" s="84"/>
      <c r="BJ288" s="78"/>
      <c r="BK288" s="84"/>
      <c r="BL288" s="44"/>
      <c r="BM288" s="79">
        <f t="shared" si="40"/>
        <v>0</v>
      </c>
      <c r="BN288" s="75"/>
      <c r="BO288" s="75"/>
    </row>
    <row r="289" spans="1:67" s="14" customFormat="1" ht="51" customHeight="1" x14ac:dyDescent="0.3">
      <c r="A289" s="220"/>
      <c r="B289" s="42" t="s">
        <v>1115</v>
      </c>
      <c r="C289" s="53" t="s">
        <v>41</v>
      </c>
      <c r="D289" s="53">
        <v>5.61</v>
      </c>
      <c r="E289" s="53"/>
      <c r="F289" s="53">
        <v>5.61</v>
      </c>
      <c r="G289" s="53">
        <v>5.61</v>
      </c>
      <c r="H289" s="93"/>
      <c r="I289" s="93"/>
      <c r="J289" s="93"/>
      <c r="K289" s="54" t="s">
        <v>285</v>
      </c>
      <c r="L289" s="54" t="s">
        <v>285</v>
      </c>
      <c r="M289" s="133">
        <v>24</v>
      </c>
      <c r="N289" s="133"/>
      <c r="O289" s="53"/>
      <c r="P289" s="93"/>
      <c r="Q289" s="93"/>
      <c r="R289" s="93"/>
      <c r="S289" s="93"/>
      <c r="T289" s="93"/>
      <c r="U289" s="93"/>
      <c r="V289" s="93"/>
      <c r="W289" s="93"/>
      <c r="X289" s="93"/>
      <c r="Y289" s="93"/>
      <c r="Z289" s="93"/>
      <c r="AA289" s="93"/>
      <c r="AB289" s="93"/>
      <c r="AC289" s="93"/>
      <c r="AD289" s="93"/>
      <c r="AE289" s="93"/>
      <c r="AF289" s="93"/>
      <c r="AG289" s="128"/>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145"/>
      <c r="BI289" s="84"/>
      <c r="BJ289" s="78"/>
      <c r="BK289" s="84"/>
      <c r="BL289" s="44"/>
      <c r="BM289" s="79">
        <f t="shared" si="40"/>
        <v>0</v>
      </c>
      <c r="BN289" s="75"/>
      <c r="BO289" s="75"/>
    </row>
    <row r="290" spans="1:67" s="14" customFormat="1" ht="51" customHeight="1" x14ac:dyDescent="0.3">
      <c r="A290" s="221"/>
      <c r="B290" s="42" t="s">
        <v>1116</v>
      </c>
      <c r="C290" s="48" t="s">
        <v>41</v>
      </c>
      <c r="D290" s="41">
        <f>16.32+0.59</f>
        <v>16.91</v>
      </c>
      <c r="E290" s="41"/>
      <c r="F290" s="41">
        <f>16.32+0.59</f>
        <v>16.91</v>
      </c>
      <c r="G290" s="41">
        <f>16.91-6.03</f>
        <v>10.879999999999999</v>
      </c>
      <c r="H290" s="41"/>
      <c r="I290" s="41"/>
      <c r="J290" s="41">
        <f t="shared" ref="J290" si="46">SUM(P290:BE290)</f>
        <v>6.0299999999999994</v>
      </c>
      <c r="K290" s="42" t="s">
        <v>1117</v>
      </c>
      <c r="L290" s="42" t="s">
        <v>395</v>
      </c>
      <c r="M290" s="44">
        <v>6</v>
      </c>
      <c r="N290" s="44"/>
      <c r="O290" s="44"/>
      <c r="P290" s="119"/>
      <c r="Q290" s="119"/>
      <c r="R290" s="119"/>
      <c r="S290" s="119"/>
      <c r="T290" s="119"/>
      <c r="U290" s="119"/>
      <c r="V290" s="119"/>
      <c r="W290" s="119"/>
      <c r="X290" s="119"/>
      <c r="Y290" s="119"/>
      <c r="Z290" s="119"/>
      <c r="AA290" s="119">
        <v>0.1</v>
      </c>
      <c r="AB290" s="119">
        <f>0.5</f>
        <v>0.5</v>
      </c>
      <c r="AC290" s="119"/>
      <c r="AD290" s="119"/>
      <c r="AE290" s="119">
        <f>0.15+0.19+0.48+0.86+0.1+1.35</f>
        <v>3.13</v>
      </c>
      <c r="AF290" s="119"/>
      <c r="AG290" s="119"/>
      <c r="AH290" s="119"/>
      <c r="AI290" s="119"/>
      <c r="AJ290" s="119"/>
      <c r="AK290" s="119"/>
      <c r="AL290" s="119"/>
      <c r="AM290" s="119"/>
      <c r="AN290" s="119">
        <v>0.95</v>
      </c>
      <c r="AO290" s="119"/>
      <c r="AP290" s="119"/>
      <c r="AQ290" s="119"/>
      <c r="AR290" s="119"/>
      <c r="AS290" s="119"/>
      <c r="AT290" s="119"/>
      <c r="AU290" s="119"/>
      <c r="AV290" s="119"/>
      <c r="AW290" s="119"/>
      <c r="AX290" s="119"/>
      <c r="AY290" s="119"/>
      <c r="AZ290" s="119"/>
      <c r="BA290" s="119"/>
      <c r="BB290" s="119"/>
      <c r="BC290" s="119"/>
      <c r="BD290" s="119"/>
      <c r="BE290" s="119">
        <f>0.8+0.3+0.1+0.15</f>
        <v>1.35</v>
      </c>
      <c r="BF290" s="119"/>
      <c r="BG290" s="119"/>
      <c r="BH290" s="145"/>
      <c r="BI290" s="84"/>
      <c r="BJ290" s="78"/>
      <c r="BK290" s="84"/>
      <c r="BL290" s="44"/>
      <c r="BM290" s="79">
        <f t="shared" si="40"/>
        <v>0</v>
      </c>
      <c r="BN290" s="75"/>
      <c r="BO290" s="75"/>
    </row>
    <row r="291" spans="1:67" s="57" customFormat="1" ht="90" customHeight="1" x14ac:dyDescent="0.3">
      <c r="A291" s="219">
        <v>6</v>
      </c>
      <c r="B291" s="102" t="s">
        <v>670</v>
      </c>
      <c r="C291" s="103" t="s">
        <v>41</v>
      </c>
      <c r="D291" s="104">
        <v>30.8</v>
      </c>
      <c r="E291" s="104"/>
      <c r="F291" s="104">
        <v>30.8</v>
      </c>
      <c r="G291" s="104"/>
      <c r="H291" s="40"/>
      <c r="I291" s="104"/>
      <c r="J291" s="104">
        <v>30.8</v>
      </c>
      <c r="K291" s="102"/>
      <c r="L291" s="102" t="s">
        <v>671</v>
      </c>
      <c r="M291" s="44" t="s">
        <v>672</v>
      </c>
      <c r="N291" s="209">
        <v>246</v>
      </c>
      <c r="O291" s="44"/>
      <c r="P291" s="84"/>
      <c r="Q291" s="84"/>
      <c r="R291" s="84"/>
      <c r="S291" s="84"/>
      <c r="T291" s="84"/>
      <c r="U291" s="84"/>
      <c r="V291" s="84"/>
      <c r="W291" s="84"/>
      <c r="X291" s="84"/>
      <c r="Y291" s="84"/>
      <c r="Z291" s="84">
        <v>5</v>
      </c>
      <c r="AA291" s="84">
        <v>5</v>
      </c>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v>3.95</v>
      </c>
      <c r="BD291" s="84">
        <v>11.85</v>
      </c>
      <c r="BE291" s="84">
        <v>5</v>
      </c>
      <c r="BF291" s="84"/>
      <c r="BG291" s="84"/>
      <c r="BH291" s="84"/>
      <c r="BI291" s="84"/>
      <c r="BJ291" s="78">
        <f t="shared" si="35"/>
        <v>0</v>
      </c>
      <c r="BK291" s="84"/>
      <c r="BL291" s="44">
        <v>22</v>
      </c>
      <c r="BM291" s="79">
        <f t="shared" si="40"/>
        <v>0</v>
      </c>
      <c r="BN291" s="75"/>
      <c r="BO291" s="75"/>
    </row>
    <row r="292" spans="1:67" s="62" customFormat="1" ht="90" customHeight="1" x14ac:dyDescent="0.3">
      <c r="A292" s="220"/>
      <c r="B292" s="102" t="s">
        <v>670</v>
      </c>
      <c r="C292" s="103" t="s">
        <v>41</v>
      </c>
      <c r="D292" s="104">
        <v>7.7</v>
      </c>
      <c r="E292" s="104"/>
      <c r="F292" s="104">
        <v>7.7</v>
      </c>
      <c r="G292" s="104"/>
      <c r="H292" s="40"/>
      <c r="I292" s="104"/>
      <c r="J292" s="104">
        <v>7.7</v>
      </c>
      <c r="K292" s="102"/>
      <c r="L292" s="102" t="s">
        <v>377</v>
      </c>
      <c r="M292" s="44"/>
      <c r="N292" s="44"/>
      <c r="O292" s="44"/>
      <c r="P292" s="84"/>
      <c r="Q292" s="84"/>
      <c r="R292" s="84"/>
      <c r="S292" s="84"/>
      <c r="T292" s="84"/>
      <c r="U292" s="84"/>
      <c r="V292" s="84"/>
      <c r="W292" s="84"/>
      <c r="X292" s="84"/>
      <c r="Y292" s="84"/>
      <c r="Z292" s="84">
        <v>1.25</v>
      </c>
      <c r="AA292" s="84">
        <v>1.25</v>
      </c>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v>3.95</v>
      </c>
      <c r="BE292" s="84">
        <v>1.25</v>
      </c>
      <c r="BF292" s="84"/>
      <c r="BG292" s="84"/>
      <c r="BH292" s="84"/>
      <c r="BI292" s="84"/>
      <c r="BJ292" s="78"/>
      <c r="BK292" s="84"/>
      <c r="BL292" s="44"/>
      <c r="BM292" s="79">
        <f t="shared" si="40"/>
        <v>0</v>
      </c>
      <c r="BN292" s="75"/>
      <c r="BO292" s="75"/>
    </row>
    <row r="293" spans="1:67" s="62" customFormat="1" ht="90" customHeight="1" x14ac:dyDescent="0.3">
      <c r="A293" s="220"/>
      <c r="B293" s="102" t="s">
        <v>670</v>
      </c>
      <c r="C293" s="103" t="s">
        <v>41</v>
      </c>
      <c r="D293" s="104">
        <v>7.7</v>
      </c>
      <c r="E293" s="104"/>
      <c r="F293" s="104">
        <v>7.7</v>
      </c>
      <c r="G293" s="104"/>
      <c r="H293" s="40"/>
      <c r="I293" s="104"/>
      <c r="J293" s="104">
        <v>7.7</v>
      </c>
      <c r="K293" s="102"/>
      <c r="L293" s="102" t="s">
        <v>261</v>
      </c>
      <c r="M293" s="44"/>
      <c r="N293" s="44"/>
      <c r="O293" s="44"/>
      <c r="P293" s="84"/>
      <c r="Q293" s="84"/>
      <c r="R293" s="84"/>
      <c r="S293" s="84"/>
      <c r="T293" s="84"/>
      <c r="U293" s="84"/>
      <c r="V293" s="84"/>
      <c r="W293" s="84"/>
      <c r="X293" s="84"/>
      <c r="Y293" s="84"/>
      <c r="Z293" s="84">
        <v>1.25</v>
      </c>
      <c r="AA293" s="84">
        <v>1.25</v>
      </c>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v>3.95</v>
      </c>
      <c r="BD293" s="84"/>
      <c r="BE293" s="84">
        <v>1.25</v>
      </c>
      <c r="BF293" s="84"/>
      <c r="BG293" s="84"/>
      <c r="BH293" s="84"/>
      <c r="BI293" s="84"/>
      <c r="BJ293" s="78"/>
      <c r="BK293" s="84"/>
      <c r="BL293" s="44"/>
      <c r="BM293" s="79">
        <f t="shared" si="40"/>
        <v>0</v>
      </c>
      <c r="BN293" s="75"/>
      <c r="BO293" s="75"/>
    </row>
    <row r="294" spans="1:67" s="62" customFormat="1" ht="90" customHeight="1" x14ac:dyDescent="0.3">
      <c r="A294" s="220"/>
      <c r="B294" s="102" t="s">
        <v>670</v>
      </c>
      <c r="C294" s="103" t="s">
        <v>41</v>
      </c>
      <c r="D294" s="104">
        <v>7.7</v>
      </c>
      <c r="E294" s="104"/>
      <c r="F294" s="104">
        <v>7.7</v>
      </c>
      <c r="G294" s="104"/>
      <c r="H294" s="40"/>
      <c r="I294" s="104"/>
      <c r="J294" s="104">
        <v>7.7</v>
      </c>
      <c r="K294" s="102"/>
      <c r="L294" s="102" t="s">
        <v>67</v>
      </c>
      <c r="M294" s="44"/>
      <c r="N294" s="44"/>
      <c r="O294" s="44"/>
      <c r="P294" s="84"/>
      <c r="Q294" s="84"/>
      <c r="R294" s="84"/>
      <c r="S294" s="84"/>
      <c r="T294" s="84"/>
      <c r="U294" s="84"/>
      <c r="V294" s="84"/>
      <c r="W294" s="84"/>
      <c r="X294" s="84"/>
      <c r="Y294" s="84"/>
      <c r="Z294" s="84">
        <v>1.25</v>
      </c>
      <c r="AA294" s="84">
        <v>1.25</v>
      </c>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v>3.95</v>
      </c>
      <c r="BE294" s="84">
        <v>1.25</v>
      </c>
      <c r="BF294" s="84"/>
      <c r="BG294" s="84"/>
      <c r="BH294" s="84"/>
      <c r="BI294" s="84"/>
      <c r="BJ294" s="78"/>
      <c r="BK294" s="84"/>
      <c r="BL294" s="44"/>
      <c r="BM294" s="79">
        <f t="shared" si="40"/>
        <v>0</v>
      </c>
      <c r="BN294" s="75"/>
      <c r="BO294" s="75"/>
    </row>
    <row r="295" spans="1:67" s="62" customFormat="1" ht="90" customHeight="1" x14ac:dyDescent="0.3">
      <c r="A295" s="221"/>
      <c r="B295" s="102" t="s">
        <v>670</v>
      </c>
      <c r="C295" s="103" t="s">
        <v>41</v>
      </c>
      <c r="D295" s="104">
        <v>7.7</v>
      </c>
      <c r="E295" s="104"/>
      <c r="F295" s="104">
        <v>7.7</v>
      </c>
      <c r="G295" s="104"/>
      <c r="H295" s="40"/>
      <c r="I295" s="104"/>
      <c r="J295" s="104">
        <v>7.7</v>
      </c>
      <c r="K295" s="102"/>
      <c r="L295" s="102" t="s">
        <v>294</v>
      </c>
      <c r="M295" s="44"/>
      <c r="N295" s="44"/>
      <c r="O295" s="44"/>
      <c r="P295" s="84"/>
      <c r="Q295" s="84"/>
      <c r="R295" s="84"/>
      <c r="S295" s="84"/>
      <c r="T295" s="84"/>
      <c r="U295" s="84"/>
      <c r="V295" s="84"/>
      <c r="W295" s="84"/>
      <c r="X295" s="84"/>
      <c r="Y295" s="84"/>
      <c r="Z295" s="84">
        <v>1.25</v>
      </c>
      <c r="AA295" s="84">
        <v>1.25</v>
      </c>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v>3.95</v>
      </c>
      <c r="BE295" s="84">
        <v>1.25</v>
      </c>
      <c r="BF295" s="84"/>
      <c r="BG295" s="84"/>
      <c r="BH295" s="84"/>
      <c r="BI295" s="84"/>
      <c r="BJ295" s="78"/>
      <c r="BK295" s="84"/>
      <c r="BL295" s="44"/>
      <c r="BM295" s="79">
        <f t="shared" si="40"/>
        <v>0</v>
      </c>
      <c r="BN295" s="75"/>
      <c r="BO295" s="75"/>
    </row>
    <row r="296" spans="1:67" s="57" customFormat="1" ht="63" customHeight="1" x14ac:dyDescent="0.3">
      <c r="A296" s="219">
        <v>7</v>
      </c>
      <c r="B296" s="42" t="s">
        <v>801</v>
      </c>
      <c r="C296" s="48" t="s">
        <v>41</v>
      </c>
      <c r="D296" s="39">
        <v>9.1</v>
      </c>
      <c r="E296" s="39">
        <v>3.8</v>
      </c>
      <c r="F296" s="39">
        <v>5.3</v>
      </c>
      <c r="G296" s="39">
        <v>1</v>
      </c>
      <c r="H296" s="39"/>
      <c r="I296" s="39"/>
      <c r="J296" s="39">
        <v>4.3</v>
      </c>
      <c r="K296" s="42"/>
      <c r="L296" s="42" t="s">
        <v>1258</v>
      </c>
      <c r="M296" s="44">
        <v>54</v>
      </c>
      <c r="N296" s="209">
        <v>247</v>
      </c>
      <c r="O296" s="44"/>
      <c r="P296" s="84"/>
      <c r="Q296" s="84"/>
      <c r="R296" s="84"/>
      <c r="S296" s="84"/>
      <c r="T296" s="84"/>
      <c r="U296" s="84"/>
      <c r="V296" s="84"/>
      <c r="W296" s="84"/>
      <c r="X296" s="84"/>
      <c r="Y296" s="84"/>
      <c r="Z296" s="84">
        <v>1</v>
      </c>
      <c r="AA296" s="84">
        <v>1.2</v>
      </c>
      <c r="AB296" s="84"/>
      <c r="AC296" s="84"/>
      <c r="AD296" s="84"/>
      <c r="AE296" s="84">
        <v>1</v>
      </c>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v>1.1000000000000001</v>
      </c>
      <c r="BF296" s="84"/>
      <c r="BG296" s="84"/>
      <c r="BH296" s="84"/>
      <c r="BI296" s="84"/>
      <c r="BJ296" s="78">
        <f t="shared" si="35"/>
        <v>0</v>
      </c>
      <c r="BK296" s="84"/>
      <c r="BL296" s="44">
        <v>22</v>
      </c>
      <c r="BM296" s="79">
        <f t="shared" si="40"/>
        <v>0</v>
      </c>
      <c r="BN296" s="75"/>
      <c r="BO296" s="75"/>
    </row>
    <row r="297" spans="1:67" s="62" customFormat="1" ht="39.75" customHeight="1" x14ac:dyDescent="0.3">
      <c r="A297" s="220"/>
      <c r="B297" s="42" t="s">
        <v>1256</v>
      </c>
      <c r="C297" s="48" t="s">
        <v>41</v>
      </c>
      <c r="D297" s="39">
        <v>3</v>
      </c>
      <c r="E297" s="39">
        <f>D297-F297</f>
        <v>1.25</v>
      </c>
      <c r="F297" s="39">
        <v>1.75</v>
      </c>
      <c r="G297" s="39">
        <v>0.3</v>
      </c>
      <c r="H297" s="39"/>
      <c r="I297" s="39"/>
      <c r="J297" s="39">
        <f>F297-G297</f>
        <v>1.45</v>
      </c>
      <c r="K297" s="42"/>
      <c r="L297" s="42" t="s">
        <v>415</v>
      </c>
      <c r="M297" s="44"/>
      <c r="N297" s="44"/>
      <c r="O297" s="44"/>
      <c r="P297" s="84"/>
      <c r="Q297" s="84"/>
      <c r="R297" s="84"/>
      <c r="S297" s="84"/>
      <c r="T297" s="84"/>
      <c r="U297" s="84"/>
      <c r="V297" s="84"/>
      <c r="W297" s="84"/>
      <c r="X297" s="84"/>
      <c r="Y297" s="84"/>
      <c r="Z297" s="84">
        <v>0.3</v>
      </c>
      <c r="AA297" s="84">
        <v>0.4</v>
      </c>
      <c r="AB297" s="84"/>
      <c r="AC297" s="84"/>
      <c r="AD297" s="84"/>
      <c r="AE297" s="84">
        <v>0.3</v>
      </c>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v>0.45</v>
      </c>
      <c r="BF297" s="84"/>
      <c r="BG297" s="84"/>
      <c r="BH297" s="84"/>
      <c r="BI297" s="84"/>
      <c r="BJ297" s="78"/>
      <c r="BK297" s="84"/>
      <c r="BL297" s="44"/>
      <c r="BM297" s="79">
        <f t="shared" si="40"/>
        <v>0</v>
      </c>
      <c r="BN297" s="75"/>
      <c r="BO297" s="75"/>
    </row>
    <row r="298" spans="1:67" s="62" customFormat="1" ht="39.75" customHeight="1" x14ac:dyDescent="0.3">
      <c r="A298" s="220"/>
      <c r="B298" s="42" t="s">
        <v>1257</v>
      </c>
      <c r="C298" s="48" t="s">
        <v>41</v>
      </c>
      <c r="D298" s="39">
        <v>3</v>
      </c>
      <c r="E298" s="39">
        <v>1.25</v>
      </c>
      <c r="F298" s="39">
        <v>1.75</v>
      </c>
      <c r="G298" s="39">
        <v>0.3</v>
      </c>
      <c r="H298" s="39"/>
      <c r="I298" s="39"/>
      <c r="J298" s="39">
        <v>1.45</v>
      </c>
      <c r="K298" s="42"/>
      <c r="L298" s="42" t="s">
        <v>395</v>
      </c>
      <c r="M298" s="44"/>
      <c r="N298" s="44"/>
      <c r="O298" s="44"/>
      <c r="P298" s="84"/>
      <c r="Q298" s="84"/>
      <c r="R298" s="84"/>
      <c r="S298" s="84"/>
      <c r="T298" s="84"/>
      <c r="U298" s="84"/>
      <c r="V298" s="84"/>
      <c r="W298" s="84"/>
      <c r="X298" s="84"/>
      <c r="Y298" s="84"/>
      <c r="Z298" s="84">
        <v>0.3</v>
      </c>
      <c r="AA298" s="84">
        <v>0.4</v>
      </c>
      <c r="AB298" s="84"/>
      <c r="AC298" s="84"/>
      <c r="AD298" s="84"/>
      <c r="AE298" s="84">
        <v>0.3</v>
      </c>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v>0.45</v>
      </c>
      <c r="BF298" s="84"/>
      <c r="BG298" s="84"/>
      <c r="BH298" s="84"/>
      <c r="BI298" s="84"/>
      <c r="BJ298" s="78"/>
      <c r="BK298" s="84"/>
      <c r="BL298" s="44"/>
      <c r="BM298" s="79">
        <f t="shared" si="40"/>
        <v>0</v>
      </c>
      <c r="BN298" s="75"/>
      <c r="BO298" s="75"/>
    </row>
    <row r="299" spans="1:67" s="71" customFormat="1" ht="42" customHeight="1" x14ac:dyDescent="0.3">
      <c r="A299" s="221"/>
      <c r="B299" s="42" t="s">
        <v>1259</v>
      </c>
      <c r="C299" s="48" t="s">
        <v>41</v>
      </c>
      <c r="D299" s="41">
        <v>3.1</v>
      </c>
      <c r="E299" s="41">
        <f>E296-E297-E298</f>
        <v>1.2999999999999998</v>
      </c>
      <c r="F299" s="41">
        <f>F296-F297-F298</f>
        <v>1.7999999999999998</v>
      </c>
      <c r="G299" s="41">
        <v>0.4</v>
      </c>
      <c r="H299" s="41"/>
      <c r="I299" s="41"/>
      <c r="J299" s="41">
        <f>F299-G299</f>
        <v>1.4</v>
      </c>
      <c r="K299" s="92"/>
      <c r="L299" s="42" t="s">
        <v>58</v>
      </c>
      <c r="M299" s="43"/>
      <c r="N299" s="43"/>
      <c r="O299" s="43"/>
      <c r="P299" s="119"/>
      <c r="Q299" s="119"/>
      <c r="R299" s="119"/>
      <c r="S299" s="119"/>
      <c r="T299" s="119"/>
      <c r="U299" s="119"/>
      <c r="V299" s="119"/>
      <c r="W299" s="119"/>
      <c r="X299" s="119"/>
      <c r="Y299" s="119"/>
      <c r="Z299" s="119">
        <v>0.4</v>
      </c>
      <c r="AA299" s="119">
        <v>0.4</v>
      </c>
      <c r="AB299" s="119"/>
      <c r="AC299" s="119"/>
      <c r="AD299" s="119"/>
      <c r="AE299" s="119">
        <v>0.4</v>
      </c>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v>0.2</v>
      </c>
      <c r="BF299" s="119"/>
      <c r="BG299" s="119"/>
      <c r="BH299" s="119"/>
      <c r="BI299" s="119"/>
      <c r="BJ299" s="78"/>
      <c r="BK299" s="84"/>
      <c r="BL299" s="44"/>
      <c r="BM299" s="79">
        <f t="shared" si="40"/>
        <v>0</v>
      </c>
      <c r="BN299" s="156"/>
      <c r="BO299" s="156"/>
    </row>
    <row r="300" spans="1:67" s="4" customFormat="1" ht="31.2" x14ac:dyDescent="0.3">
      <c r="A300" s="48">
        <v>8</v>
      </c>
      <c r="B300" s="42" t="s">
        <v>472</v>
      </c>
      <c r="C300" s="43" t="s">
        <v>41</v>
      </c>
      <c r="D300" s="41">
        <v>5</v>
      </c>
      <c r="E300" s="41">
        <v>3</v>
      </c>
      <c r="F300" s="41">
        <v>2</v>
      </c>
      <c r="G300" s="41">
        <v>1</v>
      </c>
      <c r="H300" s="41"/>
      <c r="I300" s="41"/>
      <c r="J300" s="41">
        <f>SUM(V300:BG300)</f>
        <v>1</v>
      </c>
      <c r="K300" s="42" t="s">
        <v>58</v>
      </c>
      <c r="L300" s="42" t="s">
        <v>58</v>
      </c>
      <c r="M300" s="43">
        <v>2</v>
      </c>
      <c r="N300" s="210">
        <v>249</v>
      </c>
      <c r="O300" s="43"/>
      <c r="P300" s="105"/>
      <c r="Q300" s="84"/>
      <c r="R300" s="84"/>
      <c r="S300" s="84"/>
      <c r="T300" s="84"/>
      <c r="U300" s="84"/>
      <c r="V300" s="84"/>
      <c r="W300" s="84"/>
      <c r="X300" s="84"/>
      <c r="Y300" s="84"/>
      <c r="Z300" s="84">
        <v>0.5</v>
      </c>
      <c r="AA300" s="84">
        <v>0.5</v>
      </c>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78">
        <f t="shared" si="35"/>
        <v>0</v>
      </c>
      <c r="BK300" s="84"/>
      <c r="BL300" s="44">
        <v>22</v>
      </c>
      <c r="BM300" s="79">
        <f t="shared" si="40"/>
        <v>0</v>
      </c>
      <c r="BN300" s="75"/>
      <c r="BO300" s="75"/>
    </row>
    <row r="301" spans="1:67" s="57" customFormat="1" ht="50.25" customHeight="1" x14ac:dyDescent="0.3">
      <c r="A301" s="219">
        <v>9</v>
      </c>
      <c r="B301" s="42" t="s">
        <v>65</v>
      </c>
      <c r="C301" s="48" t="s">
        <v>41</v>
      </c>
      <c r="D301" s="39">
        <v>0.96</v>
      </c>
      <c r="E301" s="39">
        <v>0.53</v>
      </c>
      <c r="F301" s="39">
        <v>0.43</v>
      </c>
      <c r="G301" s="39">
        <v>0.15</v>
      </c>
      <c r="H301" s="41"/>
      <c r="I301" s="39"/>
      <c r="J301" s="41">
        <f>SUM(V301:BG301)</f>
        <v>0.28000000000000003</v>
      </c>
      <c r="K301" s="42"/>
      <c r="L301" s="42" t="s">
        <v>665</v>
      </c>
      <c r="M301" s="49" t="s">
        <v>1262</v>
      </c>
      <c r="N301" s="209">
        <v>250</v>
      </c>
      <c r="O301" s="44"/>
      <c r="P301" s="105"/>
      <c r="Q301" s="84"/>
      <c r="R301" s="84"/>
      <c r="S301" s="84"/>
      <c r="T301" s="84"/>
      <c r="U301" s="84"/>
      <c r="V301" s="84"/>
      <c r="W301" s="84"/>
      <c r="X301" s="84"/>
      <c r="Y301" s="84"/>
      <c r="Z301" s="84">
        <v>0.28000000000000003</v>
      </c>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78">
        <f t="shared" si="35"/>
        <v>0</v>
      </c>
      <c r="BK301" s="84"/>
      <c r="BL301" s="44">
        <v>22</v>
      </c>
      <c r="BM301" s="79">
        <f t="shared" si="40"/>
        <v>0</v>
      </c>
      <c r="BN301" s="75"/>
      <c r="BO301" s="75"/>
    </row>
    <row r="302" spans="1:67" s="62" customFormat="1" ht="50.25" customHeight="1" x14ac:dyDescent="0.3">
      <c r="A302" s="220"/>
      <c r="B302" s="42" t="s">
        <v>1260</v>
      </c>
      <c r="C302" s="48" t="s">
        <v>41</v>
      </c>
      <c r="D302" s="39">
        <v>0.43</v>
      </c>
      <c r="E302" s="39">
        <v>0.21</v>
      </c>
      <c r="F302" s="39">
        <v>0.22</v>
      </c>
      <c r="G302" s="39">
        <v>0.08</v>
      </c>
      <c r="H302" s="41"/>
      <c r="I302" s="39"/>
      <c r="J302" s="41">
        <v>0.14000000000000001</v>
      </c>
      <c r="K302" s="42"/>
      <c r="L302" s="42" t="s">
        <v>58</v>
      </c>
      <c r="M302" s="44"/>
      <c r="N302" s="44"/>
      <c r="O302" s="44"/>
      <c r="P302" s="105"/>
      <c r="Q302" s="84"/>
      <c r="R302" s="84"/>
      <c r="S302" s="84"/>
      <c r="T302" s="84"/>
      <c r="U302" s="84"/>
      <c r="V302" s="84"/>
      <c r="W302" s="84"/>
      <c r="X302" s="84"/>
      <c r="Y302" s="84"/>
      <c r="Z302" s="84">
        <v>0.14000000000000001</v>
      </c>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78"/>
      <c r="BK302" s="84"/>
      <c r="BL302" s="44"/>
      <c r="BM302" s="79">
        <f t="shared" si="40"/>
        <v>0</v>
      </c>
      <c r="BN302" s="75"/>
      <c r="BO302" s="75"/>
    </row>
    <row r="303" spans="1:67" s="62" customFormat="1" ht="50.25" customHeight="1" x14ac:dyDescent="0.3">
      <c r="A303" s="221"/>
      <c r="B303" s="42" t="s">
        <v>1261</v>
      </c>
      <c r="C303" s="48" t="s">
        <v>41</v>
      </c>
      <c r="D303" s="39">
        <v>0.43</v>
      </c>
      <c r="E303" s="39">
        <v>0.22</v>
      </c>
      <c r="F303" s="39">
        <v>0.21</v>
      </c>
      <c r="G303" s="39">
        <v>7.0000000000000007E-2</v>
      </c>
      <c r="H303" s="41"/>
      <c r="I303" s="39"/>
      <c r="J303" s="41">
        <v>0.14000000000000001</v>
      </c>
      <c r="K303" s="42"/>
      <c r="L303" s="42" t="s">
        <v>233</v>
      </c>
      <c r="M303" s="44"/>
      <c r="N303" s="44"/>
      <c r="O303" s="44"/>
      <c r="P303" s="105"/>
      <c r="Q303" s="84"/>
      <c r="R303" s="84"/>
      <c r="S303" s="84"/>
      <c r="T303" s="84"/>
      <c r="U303" s="84"/>
      <c r="V303" s="84"/>
      <c r="W303" s="84"/>
      <c r="X303" s="84"/>
      <c r="Y303" s="84"/>
      <c r="Z303" s="84">
        <v>0.14000000000000001</v>
      </c>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78"/>
      <c r="BK303" s="84"/>
      <c r="BL303" s="44"/>
      <c r="BM303" s="79">
        <f t="shared" si="40"/>
        <v>0</v>
      </c>
      <c r="BN303" s="75"/>
      <c r="BO303" s="75"/>
    </row>
    <row r="304" spans="1:67" s="4" customFormat="1" ht="46.8" x14ac:dyDescent="0.3">
      <c r="A304" s="48">
        <v>10</v>
      </c>
      <c r="B304" s="42" t="s">
        <v>69</v>
      </c>
      <c r="C304" s="43" t="s">
        <v>41</v>
      </c>
      <c r="D304" s="41">
        <v>4.5</v>
      </c>
      <c r="E304" s="41">
        <f>D304-F304</f>
        <v>3.62</v>
      </c>
      <c r="F304" s="41">
        <v>0.88</v>
      </c>
      <c r="G304" s="41">
        <v>0.28000000000000003</v>
      </c>
      <c r="H304" s="41"/>
      <c r="I304" s="39"/>
      <c r="J304" s="41">
        <v>0.6</v>
      </c>
      <c r="K304" s="42" t="s">
        <v>918</v>
      </c>
      <c r="L304" s="117" t="s">
        <v>67</v>
      </c>
      <c r="M304" s="43">
        <v>16</v>
      </c>
      <c r="N304" s="210">
        <v>251</v>
      </c>
      <c r="O304" s="43"/>
      <c r="P304" s="48"/>
      <c r="Q304" s="115"/>
      <c r="R304" s="115"/>
      <c r="S304" s="115"/>
      <c r="T304" s="115"/>
      <c r="U304" s="115"/>
      <c r="V304" s="115"/>
      <c r="W304" s="115"/>
      <c r="X304" s="115"/>
      <c r="Y304" s="115"/>
      <c r="Z304" s="115"/>
      <c r="AA304" s="115">
        <v>0.3</v>
      </c>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v>0.3</v>
      </c>
      <c r="BF304" s="115"/>
      <c r="BG304" s="115"/>
      <c r="BH304" s="115"/>
      <c r="BI304" s="115"/>
      <c r="BJ304" s="78">
        <f t="shared" si="35"/>
        <v>0</v>
      </c>
      <c r="BK304" s="115"/>
      <c r="BL304" s="44">
        <v>22</v>
      </c>
      <c r="BM304" s="79">
        <f t="shared" si="40"/>
        <v>0</v>
      </c>
      <c r="BN304" s="75"/>
      <c r="BO304" s="75"/>
    </row>
    <row r="305" spans="1:67" s="4" customFormat="1" ht="46.8" x14ac:dyDescent="0.3">
      <c r="A305" s="48">
        <v>11</v>
      </c>
      <c r="B305" s="42" t="s">
        <v>70</v>
      </c>
      <c r="C305" s="43" t="s">
        <v>41</v>
      </c>
      <c r="D305" s="41">
        <v>18.36</v>
      </c>
      <c r="E305" s="41"/>
      <c r="F305" s="41">
        <v>18.36</v>
      </c>
      <c r="G305" s="41">
        <v>15.74</v>
      </c>
      <c r="H305" s="41"/>
      <c r="I305" s="39"/>
      <c r="J305" s="41">
        <v>2.62</v>
      </c>
      <c r="K305" s="42" t="s">
        <v>71</v>
      </c>
      <c r="L305" s="117" t="s">
        <v>67</v>
      </c>
      <c r="M305" s="43">
        <v>20</v>
      </c>
      <c r="N305" s="210">
        <v>252</v>
      </c>
      <c r="O305" s="43"/>
      <c r="P305" s="48"/>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v>2.62</v>
      </c>
      <c r="BF305" s="115"/>
      <c r="BG305" s="115"/>
      <c r="BH305" s="115"/>
      <c r="BI305" s="115"/>
      <c r="BJ305" s="78">
        <f t="shared" si="35"/>
        <v>0</v>
      </c>
      <c r="BK305" s="115"/>
      <c r="BL305" s="44">
        <v>22</v>
      </c>
      <c r="BM305" s="79">
        <f t="shared" si="40"/>
        <v>0</v>
      </c>
      <c r="BN305" s="75"/>
      <c r="BO305" s="75"/>
    </row>
    <row r="306" spans="1:67" s="4" customFormat="1" ht="46.8" x14ac:dyDescent="0.3">
      <c r="A306" s="48">
        <v>12</v>
      </c>
      <c r="B306" s="157" t="s">
        <v>76</v>
      </c>
      <c r="C306" s="95" t="s">
        <v>41</v>
      </c>
      <c r="D306" s="40">
        <v>1</v>
      </c>
      <c r="E306" s="40">
        <v>0.96</v>
      </c>
      <c r="F306" s="40">
        <v>0.04</v>
      </c>
      <c r="G306" s="40">
        <v>0</v>
      </c>
      <c r="H306" s="40"/>
      <c r="I306" s="39"/>
      <c r="J306" s="40">
        <v>0.04</v>
      </c>
      <c r="K306" s="157" t="s">
        <v>919</v>
      </c>
      <c r="L306" s="117" t="s">
        <v>67</v>
      </c>
      <c r="M306" s="95">
        <v>30</v>
      </c>
      <c r="N306" s="212">
        <v>253</v>
      </c>
      <c r="O306" s="95"/>
      <c r="P306" s="103"/>
      <c r="Q306" s="115"/>
      <c r="R306" s="115"/>
      <c r="S306" s="115"/>
      <c r="T306" s="115"/>
      <c r="U306" s="115"/>
      <c r="V306" s="115"/>
      <c r="W306" s="115"/>
      <c r="X306" s="115"/>
      <c r="Y306" s="115"/>
      <c r="Z306" s="115"/>
      <c r="AA306" s="115"/>
      <c r="AB306" s="115"/>
      <c r="AC306" s="115"/>
      <c r="AD306" s="115"/>
      <c r="AE306" s="115"/>
      <c r="AF306" s="115">
        <v>0.04</v>
      </c>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78">
        <f t="shared" si="35"/>
        <v>0</v>
      </c>
      <c r="BK306" s="115"/>
      <c r="BL306" s="44">
        <v>22</v>
      </c>
      <c r="BM306" s="79">
        <f t="shared" si="40"/>
        <v>0</v>
      </c>
      <c r="BN306" s="75"/>
      <c r="BO306" s="75"/>
    </row>
    <row r="307" spans="1:67" s="4" customFormat="1" ht="46.8" x14ac:dyDescent="0.3">
      <c r="A307" s="48">
        <v>13</v>
      </c>
      <c r="B307" s="42" t="s">
        <v>664</v>
      </c>
      <c r="C307" s="43" t="s">
        <v>41</v>
      </c>
      <c r="D307" s="41">
        <v>7.65</v>
      </c>
      <c r="E307" s="41"/>
      <c r="F307" s="41">
        <v>7.65</v>
      </c>
      <c r="G307" s="41">
        <v>6.12</v>
      </c>
      <c r="H307" s="41"/>
      <c r="I307" s="39"/>
      <c r="J307" s="41">
        <v>1.53</v>
      </c>
      <c r="K307" s="42"/>
      <c r="L307" s="117" t="s">
        <v>67</v>
      </c>
      <c r="M307" s="43">
        <v>42</v>
      </c>
      <c r="N307" s="210">
        <v>254</v>
      </c>
      <c r="O307" s="43"/>
      <c r="P307" s="48"/>
      <c r="Q307" s="48"/>
      <c r="R307" s="48"/>
      <c r="S307" s="48"/>
      <c r="T307" s="48"/>
      <c r="U307" s="48"/>
      <c r="V307" s="48"/>
      <c r="W307" s="48"/>
      <c r="X307" s="48"/>
      <c r="Y307" s="48"/>
      <c r="Z307" s="48">
        <v>0.53</v>
      </c>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v>1</v>
      </c>
      <c r="BF307" s="48"/>
      <c r="BG307" s="48"/>
      <c r="BH307" s="48"/>
      <c r="BI307" s="48"/>
      <c r="BJ307" s="78">
        <f t="shared" si="35"/>
        <v>0</v>
      </c>
      <c r="BK307" s="115"/>
      <c r="BL307" s="44">
        <v>22</v>
      </c>
      <c r="BM307" s="79">
        <f t="shared" si="40"/>
        <v>0</v>
      </c>
      <c r="BN307" s="75"/>
      <c r="BO307" s="75"/>
    </row>
    <row r="308" spans="1:67" s="57" customFormat="1" ht="65.25" customHeight="1" x14ac:dyDescent="0.3">
      <c r="A308" s="219">
        <v>14</v>
      </c>
      <c r="B308" s="42" t="s">
        <v>78</v>
      </c>
      <c r="C308" s="48" t="s">
        <v>41</v>
      </c>
      <c r="D308" s="41">
        <v>6.8</v>
      </c>
      <c r="E308" s="41">
        <v>1.8</v>
      </c>
      <c r="F308" s="41">
        <f>+D308-E308</f>
        <v>5</v>
      </c>
      <c r="G308" s="41">
        <v>1.2</v>
      </c>
      <c r="H308" s="41"/>
      <c r="I308" s="41"/>
      <c r="J308" s="41">
        <f>SUM(P308:BG308)</f>
        <v>3.8</v>
      </c>
      <c r="K308" s="42"/>
      <c r="L308" s="42" t="s">
        <v>421</v>
      </c>
      <c r="M308" s="106" t="s">
        <v>657</v>
      </c>
      <c r="N308" s="209">
        <v>255</v>
      </c>
      <c r="O308" s="106"/>
      <c r="P308" s="106"/>
      <c r="Q308" s="106"/>
      <c r="R308" s="106"/>
      <c r="S308" s="106"/>
      <c r="T308" s="106"/>
      <c r="U308" s="106"/>
      <c r="V308" s="106"/>
      <c r="W308" s="106"/>
      <c r="X308" s="106"/>
      <c r="Y308" s="106"/>
      <c r="Z308" s="106">
        <v>3.8</v>
      </c>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78">
        <f t="shared" si="35"/>
        <v>0</v>
      </c>
      <c r="BK308" s="106"/>
      <c r="BL308" s="106">
        <v>22</v>
      </c>
      <c r="BM308" s="79">
        <f t="shared" si="40"/>
        <v>0</v>
      </c>
      <c r="BN308" s="75"/>
      <c r="BO308" s="75"/>
    </row>
    <row r="309" spans="1:67" s="62" customFormat="1" ht="65.25" customHeight="1" x14ac:dyDescent="0.3">
      <c r="A309" s="220"/>
      <c r="B309" s="42" t="s">
        <v>1263</v>
      </c>
      <c r="C309" s="48" t="s">
        <v>41</v>
      </c>
      <c r="D309" s="41">
        <v>2.2999999999999998</v>
      </c>
      <c r="E309" s="41">
        <v>0.6</v>
      </c>
      <c r="F309" s="41">
        <v>1.7</v>
      </c>
      <c r="G309" s="41">
        <v>0.4</v>
      </c>
      <c r="H309" s="41"/>
      <c r="I309" s="41"/>
      <c r="J309" s="41">
        <v>1.3</v>
      </c>
      <c r="K309" s="42"/>
      <c r="L309" s="42" t="s">
        <v>67</v>
      </c>
      <c r="M309" s="106"/>
      <c r="N309" s="44"/>
      <c r="O309" s="106"/>
      <c r="P309" s="106"/>
      <c r="Q309" s="106"/>
      <c r="R309" s="106"/>
      <c r="S309" s="106"/>
      <c r="T309" s="106"/>
      <c r="U309" s="106"/>
      <c r="V309" s="106"/>
      <c r="W309" s="106"/>
      <c r="X309" s="106"/>
      <c r="Y309" s="106"/>
      <c r="Z309" s="41">
        <v>1.3</v>
      </c>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78"/>
      <c r="BK309" s="106"/>
      <c r="BL309" s="106"/>
      <c r="BM309" s="79">
        <f t="shared" si="40"/>
        <v>0</v>
      </c>
      <c r="BN309" s="75"/>
      <c r="BO309" s="75"/>
    </row>
    <row r="310" spans="1:67" s="62" customFormat="1" ht="65.25" customHeight="1" x14ac:dyDescent="0.3">
      <c r="A310" s="220"/>
      <c r="B310" s="42" t="s">
        <v>1264</v>
      </c>
      <c r="C310" s="48" t="s">
        <v>41</v>
      </c>
      <c r="D310" s="41">
        <v>2.2999999999999998</v>
      </c>
      <c r="E310" s="41">
        <v>0.6</v>
      </c>
      <c r="F310" s="41">
        <v>1.7</v>
      </c>
      <c r="G310" s="41">
        <v>0.4</v>
      </c>
      <c r="H310" s="41"/>
      <c r="I310" s="41"/>
      <c r="J310" s="41">
        <v>1.3</v>
      </c>
      <c r="K310" s="42"/>
      <c r="L310" s="42" t="s">
        <v>1266</v>
      </c>
      <c r="M310" s="106"/>
      <c r="N310" s="44"/>
      <c r="O310" s="106"/>
      <c r="P310" s="106"/>
      <c r="Q310" s="106"/>
      <c r="R310" s="106"/>
      <c r="S310" s="106"/>
      <c r="T310" s="106"/>
      <c r="U310" s="106"/>
      <c r="V310" s="106"/>
      <c r="W310" s="106"/>
      <c r="X310" s="106"/>
      <c r="Y310" s="106"/>
      <c r="Z310" s="41">
        <v>1.3</v>
      </c>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78"/>
      <c r="BK310" s="106"/>
      <c r="BL310" s="106"/>
      <c r="BM310" s="79">
        <f t="shared" si="40"/>
        <v>0</v>
      </c>
      <c r="BN310" s="75"/>
      <c r="BO310" s="75"/>
    </row>
    <row r="311" spans="1:67" s="62" customFormat="1" ht="65.25" customHeight="1" x14ac:dyDescent="0.3">
      <c r="A311" s="221"/>
      <c r="B311" s="42" t="s">
        <v>1265</v>
      </c>
      <c r="C311" s="48" t="s">
        <v>41</v>
      </c>
      <c r="D311" s="41">
        <v>2.2000000000000002</v>
      </c>
      <c r="E311" s="41">
        <v>0.6</v>
      </c>
      <c r="F311" s="41">
        <v>1.6</v>
      </c>
      <c r="G311" s="41">
        <v>0.4</v>
      </c>
      <c r="H311" s="41"/>
      <c r="I311" s="41"/>
      <c r="J311" s="41">
        <v>1.2</v>
      </c>
      <c r="K311" s="42"/>
      <c r="L311" s="42" t="s">
        <v>415</v>
      </c>
      <c r="M311" s="106"/>
      <c r="N311" s="44"/>
      <c r="O311" s="106"/>
      <c r="P311" s="106"/>
      <c r="Q311" s="106"/>
      <c r="R311" s="106"/>
      <c r="S311" s="106"/>
      <c r="T311" s="106"/>
      <c r="U311" s="106"/>
      <c r="V311" s="106"/>
      <c r="W311" s="106"/>
      <c r="X311" s="106"/>
      <c r="Y311" s="106"/>
      <c r="Z311" s="41">
        <v>1.2</v>
      </c>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78"/>
      <c r="BK311" s="106"/>
      <c r="BL311" s="106"/>
      <c r="BM311" s="79">
        <f t="shared" si="40"/>
        <v>0</v>
      </c>
      <c r="BN311" s="75"/>
      <c r="BO311" s="75"/>
    </row>
    <row r="312" spans="1:67" s="4" customFormat="1" ht="46.8" x14ac:dyDescent="0.3">
      <c r="A312" s="48">
        <v>15</v>
      </c>
      <c r="B312" s="42" t="s">
        <v>911</v>
      </c>
      <c r="C312" s="48" t="s">
        <v>41</v>
      </c>
      <c r="D312" s="39">
        <v>1.04</v>
      </c>
      <c r="E312" s="39"/>
      <c r="F312" s="39">
        <v>1.04</v>
      </c>
      <c r="G312" s="39">
        <v>1.04</v>
      </c>
      <c r="H312" s="39"/>
      <c r="I312" s="39"/>
      <c r="J312" s="39"/>
      <c r="K312" s="92" t="s">
        <v>935</v>
      </c>
      <c r="L312" s="117" t="s">
        <v>67</v>
      </c>
      <c r="M312" s="43">
        <v>58</v>
      </c>
      <c r="N312" s="210">
        <v>256</v>
      </c>
      <c r="O312" s="43"/>
      <c r="P312" s="115"/>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78">
        <f t="shared" si="35"/>
        <v>0</v>
      </c>
      <c r="BK312" s="115"/>
      <c r="BL312" s="44">
        <v>22</v>
      </c>
      <c r="BM312" s="79">
        <f t="shared" si="40"/>
        <v>0</v>
      </c>
      <c r="BN312" s="75"/>
      <c r="BO312" s="75"/>
    </row>
    <row r="313" spans="1:67" s="4" customFormat="1" ht="46.8" x14ac:dyDescent="0.3">
      <c r="A313" s="48">
        <v>16</v>
      </c>
      <c r="B313" s="42" t="s">
        <v>78</v>
      </c>
      <c r="C313" s="48" t="s">
        <v>41</v>
      </c>
      <c r="D313" s="41">
        <v>2</v>
      </c>
      <c r="E313" s="41">
        <v>1</v>
      </c>
      <c r="F313" s="41">
        <f>+D313-E313</f>
        <v>1</v>
      </c>
      <c r="G313" s="39">
        <v>1</v>
      </c>
      <c r="H313" s="39"/>
      <c r="I313" s="39"/>
      <c r="J313" s="39"/>
      <c r="K313" s="117" t="s">
        <v>67</v>
      </c>
      <c r="L313" s="117" t="s">
        <v>67</v>
      </c>
      <c r="M313" s="43">
        <v>59</v>
      </c>
      <c r="N313" s="210">
        <v>257</v>
      </c>
      <c r="O313" s="43"/>
      <c r="P313" s="115"/>
      <c r="Q313" s="48"/>
      <c r="R313" s="48"/>
      <c r="S313" s="48"/>
      <c r="T313" s="48"/>
      <c r="U313" s="48"/>
      <c r="V313" s="48"/>
      <c r="W313" s="48"/>
      <c r="X313" s="48"/>
      <c r="Y313" s="48"/>
      <c r="Z313" s="111"/>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78">
        <f t="shared" si="35"/>
        <v>0</v>
      </c>
      <c r="BK313" s="115"/>
      <c r="BL313" s="44">
        <v>22</v>
      </c>
      <c r="BM313" s="79">
        <f t="shared" si="40"/>
        <v>0</v>
      </c>
      <c r="BN313" s="75"/>
      <c r="BO313" s="75"/>
    </row>
    <row r="314" spans="1:67" s="4" customFormat="1" ht="46.8" x14ac:dyDescent="0.3">
      <c r="A314" s="48">
        <v>17</v>
      </c>
      <c r="B314" s="102" t="s">
        <v>692</v>
      </c>
      <c r="C314" s="96" t="s">
        <v>41</v>
      </c>
      <c r="D314" s="108">
        <v>17.8</v>
      </c>
      <c r="E314" s="108">
        <v>1.9</v>
      </c>
      <c r="F314" s="108">
        <v>15.9</v>
      </c>
      <c r="G314" s="108">
        <v>14</v>
      </c>
      <c r="H314" s="108"/>
      <c r="I314" s="108"/>
      <c r="J314" s="108">
        <v>1.9</v>
      </c>
      <c r="K314" s="94"/>
      <c r="L314" s="94" t="s">
        <v>67</v>
      </c>
      <c r="M314" s="43" t="s">
        <v>672</v>
      </c>
      <c r="N314" s="210">
        <v>258</v>
      </c>
      <c r="O314" s="43"/>
      <c r="P314" s="115"/>
      <c r="Q314" s="48"/>
      <c r="R314" s="48"/>
      <c r="S314" s="48"/>
      <c r="T314" s="48"/>
      <c r="U314" s="48"/>
      <c r="V314" s="48"/>
      <c r="W314" s="48"/>
      <c r="X314" s="48"/>
      <c r="Y314" s="48"/>
      <c r="Z314" s="111"/>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v>0.9</v>
      </c>
      <c r="BE314" s="48">
        <v>1</v>
      </c>
      <c r="BF314" s="48"/>
      <c r="BG314" s="48"/>
      <c r="BH314" s="48"/>
      <c r="BI314" s="48"/>
      <c r="BJ314" s="78">
        <f t="shared" si="35"/>
        <v>0</v>
      </c>
      <c r="BK314" s="115"/>
      <c r="BL314" s="44">
        <v>22</v>
      </c>
      <c r="BM314" s="79">
        <f t="shared" si="40"/>
        <v>0</v>
      </c>
      <c r="BN314" s="75"/>
      <c r="BO314" s="75"/>
    </row>
    <row r="315" spans="1:67" s="4" customFormat="1" ht="33" customHeight="1" x14ac:dyDescent="0.3">
      <c r="A315" s="48">
        <v>18</v>
      </c>
      <c r="B315" s="42" t="s">
        <v>80</v>
      </c>
      <c r="C315" s="48" t="s">
        <v>41</v>
      </c>
      <c r="D315" s="108">
        <v>0.69</v>
      </c>
      <c r="E315" s="39"/>
      <c r="F315" s="108">
        <v>0.69</v>
      </c>
      <c r="G315" s="108">
        <v>0.69</v>
      </c>
      <c r="H315" s="39"/>
      <c r="I315" s="39"/>
      <c r="J315" s="39"/>
      <c r="K315" s="158" t="s">
        <v>937</v>
      </c>
      <c r="L315" s="117" t="s">
        <v>67</v>
      </c>
      <c r="M315" s="43">
        <v>62</v>
      </c>
      <c r="N315" s="210">
        <v>259</v>
      </c>
      <c r="O315" s="43"/>
      <c r="P315" s="115"/>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78">
        <f t="shared" si="35"/>
        <v>0</v>
      </c>
      <c r="BK315" s="115"/>
      <c r="BL315" s="44">
        <v>22</v>
      </c>
      <c r="BM315" s="79">
        <f t="shared" si="40"/>
        <v>0</v>
      </c>
      <c r="BN315" s="75"/>
      <c r="BO315" s="75"/>
    </row>
    <row r="316" spans="1:67" s="57" customFormat="1" ht="64.5" customHeight="1" x14ac:dyDescent="0.3">
      <c r="A316" s="219">
        <v>19</v>
      </c>
      <c r="B316" s="42" t="s">
        <v>88</v>
      </c>
      <c r="C316" s="48" t="s">
        <v>41</v>
      </c>
      <c r="D316" s="39">
        <v>14.25</v>
      </c>
      <c r="E316" s="39">
        <v>8.5500000000000007</v>
      </c>
      <c r="F316" s="39">
        <v>5.7</v>
      </c>
      <c r="G316" s="39">
        <v>1.71</v>
      </c>
      <c r="H316" s="40"/>
      <c r="I316" s="39"/>
      <c r="J316" s="107">
        <v>3.99</v>
      </c>
      <c r="K316" s="42"/>
      <c r="L316" s="42" t="s">
        <v>658</v>
      </c>
      <c r="M316" s="43" t="s">
        <v>894</v>
      </c>
      <c r="N316" s="210">
        <v>260</v>
      </c>
      <c r="O316" s="43"/>
      <c r="P316" s="84"/>
      <c r="Q316" s="84"/>
      <c r="R316" s="84"/>
      <c r="S316" s="84"/>
      <c r="T316" s="84"/>
      <c r="U316" s="84"/>
      <c r="V316" s="84"/>
      <c r="W316" s="84"/>
      <c r="X316" s="84"/>
      <c r="Y316" s="84"/>
      <c r="Z316" s="84">
        <v>3.99</v>
      </c>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78">
        <f t="shared" si="35"/>
        <v>0</v>
      </c>
      <c r="BK316" s="84"/>
      <c r="BL316" s="44">
        <v>22</v>
      </c>
      <c r="BM316" s="79">
        <f t="shared" si="40"/>
        <v>0</v>
      </c>
      <c r="BN316" s="75"/>
      <c r="BO316" s="75"/>
    </row>
    <row r="317" spans="1:67" s="62" customFormat="1" ht="39" customHeight="1" x14ac:dyDescent="0.3">
      <c r="A317" s="220"/>
      <c r="B317" s="42" t="s">
        <v>1267</v>
      </c>
      <c r="C317" s="48" t="s">
        <v>41</v>
      </c>
      <c r="D317" s="39">
        <v>3.56</v>
      </c>
      <c r="E317" s="39">
        <v>2.14</v>
      </c>
      <c r="F317" s="39">
        <v>1.42</v>
      </c>
      <c r="G317" s="39">
        <v>0.43</v>
      </c>
      <c r="H317" s="40"/>
      <c r="I317" s="39"/>
      <c r="J317" s="107">
        <f>F317-G317</f>
        <v>0.99</v>
      </c>
      <c r="K317" s="42"/>
      <c r="L317" s="42" t="s">
        <v>81</v>
      </c>
      <c r="M317" s="43"/>
      <c r="N317" s="43"/>
      <c r="O317" s="43"/>
      <c r="P317" s="84"/>
      <c r="Q317" s="84"/>
      <c r="R317" s="84"/>
      <c r="S317" s="84"/>
      <c r="T317" s="84"/>
      <c r="U317" s="84"/>
      <c r="V317" s="84"/>
      <c r="W317" s="84"/>
      <c r="X317" s="84"/>
      <c r="Y317" s="84"/>
      <c r="Z317" s="107">
        <v>0.99</v>
      </c>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78"/>
      <c r="BK317" s="84"/>
      <c r="BL317" s="44"/>
      <c r="BM317" s="79">
        <f t="shared" si="40"/>
        <v>0</v>
      </c>
      <c r="BN317" s="75"/>
      <c r="BO317" s="75"/>
    </row>
    <row r="318" spans="1:67" s="62" customFormat="1" ht="39" customHeight="1" x14ac:dyDescent="0.3">
      <c r="A318" s="220"/>
      <c r="B318" s="42" t="s">
        <v>1268</v>
      </c>
      <c r="C318" s="48" t="s">
        <v>41</v>
      </c>
      <c r="D318" s="39">
        <v>3.56</v>
      </c>
      <c r="E318" s="39">
        <v>2.14</v>
      </c>
      <c r="F318" s="39">
        <v>1.42</v>
      </c>
      <c r="G318" s="39">
        <v>0.43</v>
      </c>
      <c r="H318" s="40"/>
      <c r="I318" s="39"/>
      <c r="J318" s="107">
        <v>0.99</v>
      </c>
      <c r="K318" s="42"/>
      <c r="L318" s="42" t="s">
        <v>90</v>
      </c>
      <c r="M318" s="43"/>
      <c r="N318" s="43"/>
      <c r="O318" s="43"/>
      <c r="P318" s="84"/>
      <c r="Q318" s="84"/>
      <c r="R318" s="84"/>
      <c r="S318" s="84"/>
      <c r="T318" s="84"/>
      <c r="U318" s="84"/>
      <c r="V318" s="84"/>
      <c r="W318" s="84"/>
      <c r="X318" s="84"/>
      <c r="Y318" s="84"/>
      <c r="Z318" s="107">
        <v>0.99</v>
      </c>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78"/>
      <c r="BK318" s="84"/>
      <c r="BL318" s="44"/>
      <c r="BM318" s="79">
        <f t="shared" si="40"/>
        <v>0</v>
      </c>
      <c r="BN318" s="75"/>
      <c r="BO318" s="75"/>
    </row>
    <row r="319" spans="1:67" s="62" customFormat="1" ht="39" customHeight="1" x14ac:dyDescent="0.3">
      <c r="A319" s="220"/>
      <c r="B319" s="42" t="s">
        <v>1269</v>
      </c>
      <c r="C319" s="48" t="s">
        <v>41</v>
      </c>
      <c r="D319" s="39">
        <v>3.56</v>
      </c>
      <c r="E319" s="39">
        <v>2.14</v>
      </c>
      <c r="F319" s="39">
        <v>1.43</v>
      </c>
      <c r="G319" s="39">
        <v>0.43</v>
      </c>
      <c r="H319" s="40"/>
      <c r="I319" s="39"/>
      <c r="J319" s="107">
        <v>1</v>
      </c>
      <c r="K319" s="42"/>
      <c r="L319" s="42" t="s">
        <v>1271</v>
      </c>
      <c r="M319" s="43"/>
      <c r="N319" s="43"/>
      <c r="O319" s="43"/>
      <c r="P319" s="84"/>
      <c r="Q319" s="84"/>
      <c r="R319" s="84"/>
      <c r="S319" s="84"/>
      <c r="T319" s="84"/>
      <c r="U319" s="84"/>
      <c r="V319" s="84"/>
      <c r="W319" s="84"/>
      <c r="X319" s="84"/>
      <c r="Y319" s="84"/>
      <c r="Z319" s="107">
        <v>1</v>
      </c>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78"/>
      <c r="BK319" s="84"/>
      <c r="BL319" s="44"/>
      <c r="BM319" s="79">
        <f t="shared" si="40"/>
        <v>0</v>
      </c>
      <c r="BN319" s="75"/>
      <c r="BO319" s="75"/>
    </row>
    <row r="320" spans="1:67" s="62" customFormat="1" ht="39" customHeight="1" x14ac:dyDescent="0.3">
      <c r="A320" s="221"/>
      <c r="B320" s="42" t="s">
        <v>1270</v>
      </c>
      <c r="C320" s="48" t="s">
        <v>41</v>
      </c>
      <c r="D320" s="39">
        <v>3.57</v>
      </c>
      <c r="E320" s="39">
        <v>2.14</v>
      </c>
      <c r="F320" s="39">
        <v>1.43</v>
      </c>
      <c r="G320" s="39">
        <v>0.42</v>
      </c>
      <c r="H320" s="40"/>
      <c r="I320" s="39"/>
      <c r="J320" s="107">
        <f>F320-G320</f>
        <v>1.01</v>
      </c>
      <c r="K320" s="42"/>
      <c r="L320" s="42" t="s">
        <v>93</v>
      </c>
      <c r="M320" s="43"/>
      <c r="N320" s="43"/>
      <c r="O320" s="43"/>
      <c r="P320" s="84"/>
      <c r="Q320" s="84"/>
      <c r="R320" s="84"/>
      <c r="S320" s="84"/>
      <c r="T320" s="84"/>
      <c r="U320" s="84"/>
      <c r="V320" s="84"/>
      <c r="W320" s="84"/>
      <c r="X320" s="84"/>
      <c r="Y320" s="84"/>
      <c r="Z320" s="107">
        <v>1.01</v>
      </c>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78"/>
      <c r="BK320" s="84"/>
      <c r="BL320" s="44"/>
      <c r="BM320" s="79">
        <f t="shared" si="40"/>
        <v>0</v>
      </c>
      <c r="BN320" s="75"/>
      <c r="BO320" s="75"/>
    </row>
    <row r="321" spans="1:67" s="14" customFormat="1" ht="36.75" customHeight="1" x14ac:dyDescent="0.3">
      <c r="A321" s="48">
        <v>20</v>
      </c>
      <c r="B321" s="42" t="s">
        <v>473</v>
      </c>
      <c r="C321" s="43" t="s">
        <v>41</v>
      </c>
      <c r="D321" s="41">
        <v>2.37</v>
      </c>
      <c r="E321" s="41"/>
      <c r="F321" s="41">
        <v>2.37</v>
      </c>
      <c r="G321" s="41">
        <v>0.5</v>
      </c>
      <c r="H321" s="41"/>
      <c r="I321" s="41"/>
      <c r="J321" s="41">
        <v>1.87</v>
      </c>
      <c r="K321" s="42"/>
      <c r="L321" s="42" t="s">
        <v>93</v>
      </c>
      <c r="M321" s="43" t="s">
        <v>663</v>
      </c>
      <c r="N321" s="210">
        <v>261</v>
      </c>
      <c r="O321" s="43"/>
      <c r="P321" s="92"/>
      <c r="Q321" s="84"/>
      <c r="R321" s="84"/>
      <c r="S321" s="84"/>
      <c r="T321" s="84"/>
      <c r="U321" s="84"/>
      <c r="V321" s="84"/>
      <c r="W321" s="84"/>
      <c r="X321" s="84"/>
      <c r="Y321" s="84"/>
      <c r="Z321" s="84">
        <v>1</v>
      </c>
      <c r="AA321" s="84">
        <v>0.5</v>
      </c>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v>0.37</v>
      </c>
      <c r="BF321" s="84"/>
      <c r="BG321" s="84"/>
      <c r="BH321" s="84"/>
      <c r="BI321" s="84"/>
      <c r="BJ321" s="78">
        <f t="shared" si="35"/>
        <v>0</v>
      </c>
      <c r="BK321" s="84"/>
      <c r="BL321" s="44">
        <v>22</v>
      </c>
      <c r="BM321" s="79">
        <f t="shared" si="40"/>
        <v>0</v>
      </c>
      <c r="BN321" s="75"/>
      <c r="BO321" s="75"/>
    </row>
    <row r="322" spans="1:67" s="4" customFormat="1" ht="31.2" x14ac:dyDescent="0.3">
      <c r="A322" s="48">
        <v>21</v>
      </c>
      <c r="B322" s="42" t="s">
        <v>472</v>
      </c>
      <c r="C322" s="43" t="s">
        <v>41</v>
      </c>
      <c r="D322" s="41">
        <v>3</v>
      </c>
      <c r="E322" s="41"/>
      <c r="F322" s="41">
        <v>3</v>
      </c>
      <c r="G322" s="41"/>
      <c r="H322" s="41"/>
      <c r="I322" s="41"/>
      <c r="J322" s="41">
        <v>3</v>
      </c>
      <c r="K322" s="42" t="s">
        <v>90</v>
      </c>
      <c r="L322" s="42" t="s">
        <v>91</v>
      </c>
      <c r="M322" s="43">
        <v>19</v>
      </c>
      <c r="N322" s="210">
        <v>262</v>
      </c>
      <c r="O322" s="43"/>
      <c r="P322" s="92"/>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v>3</v>
      </c>
      <c r="BF322" s="84"/>
      <c r="BG322" s="84"/>
      <c r="BH322" s="84"/>
      <c r="BI322" s="84"/>
      <c r="BJ322" s="78">
        <f t="shared" si="35"/>
        <v>0</v>
      </c>
      <c r="BK322" s="84"/>
      <c r="BL322" s="44">
        <v>22</v>
      </c>
      <c r="BM322" s="79">
        <f t="shared" si="40"/>
        <v>0</v>
      </c>
      <c r="BN322" s="75"/>
      <c r="BO322" s="75"/>
    </row>
    <row r="323" spans="1:67" s="4" customFormat="1" ht="31.2" x14ac:dyDescent="0.3">
      <c r="A323" s="48">
        <v>22</v>
      </c>
      <c r="B323" s="42" t="s">
        <v>92</v>
      </c>
      <c r="C323" s="48" t="s">
        <v>41</v>
      </c>
      <c r="D323" s="39">
        <v>4.5999999999999996</v>
      </c>
      <c r="E323" s="39">
        <v>2.6</v>
      </c>
      <c r="F323" s="39">
        <f>D323-E323</f>
        <v>1.9999999999999996</v>
      </c>
      <c r="G323" s="41">
        <v>1</v>
      </c>
      <c r="H323" s="41"/>
      <c r="I323" s="39"/>
      <c r="J323" s="41">
        <v>1</v>
      </c>
      <c r="K323" s="42" t="s">
        <v>90</v>
      </c>
      <c r="L323" s="42" t="s">
        <v>91</v>
      </c>
      <c r="M323" s="48">
        <v>6</v>
      </c>
      <c r="N323" s="206">
        <v>263</v>
      </c>
      <c r="O323" s="48"/>
      <c r="P323" s="92"/>
      <c r="Q323" s="84"/>
      <c r="R323" s="84"/>
      <c r="S323" s="84"/>
      <c r="T323" s="84"/>
      <c r="U323" s="84"/>
      <c r="V323" s="84"/>
      <c r="W323" s="84"/>
      <c r="X323" s="84"/>
      <c r="Y323" s="84"/>
      <c r="Z323" s="84"/>
      <c r="AA323" s="84">
        <v>0.5</v>
      </c>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v>0.5</v>
      </c>
      <c r="BF323" s="84"/>
      <c r="BG323" s="84"/>
      <c r="BH323" s="84"/>
      <c r="BI323" s="84"/>
      <c r="BJ323" s="78">
        <f t="shared" si="35"/>
        <v>0</v>
      </c>
      <c r="BK323" s="84"/>
      <c r="BL323" s="44">
        <v>22</v>
      </c>
      <c r="BM323" s="79">
        <f t="shared" si="40"/>
        <v>0</v>
      </c>
      <c r="BN323" s="75"/>
      <c r="BO323" s="75"/>
    </row>
    <row r="324" spans="1:67" s="4" customFormat="1" ht="77.25" customHeight="1" x14ac:dyDescent="0.3">
      <c r="A324" s="48">
        <v>23</v>
      </c>
      <c r="B324" s="42" t="s">
        <v>887</v>
      </c>
      <c r="C324" s="48" t="s">
        <v>41</v>
      </c>
      <c r="D324" s="39">
        <v>0.3</v>
      </c>
      <c r="E324" s="39">
        <v>0.2</v>
      </c>
      <c r="F324" s="39">
        <v>0.1</v>
      </c>
      <c r="G324" s="41">
        <v>0.1</v>
      </c>
      <c r="H324" s="41"/>
      <c r="I324" s="39"/>
      <c r="J324" s="41"/>
      <c r="K324" s="42"/>
      <c r="L324" s="42" t="s">
        <v>91</v>
      </c>
      <c r="M324" s="48">
        <v>24</v>
      </c>
      <c r="N324" s="206">
        <v>264</v>
      </c>
      <c r="O324" s="48"/>
      <c r="P324" s="92"/>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78"/>
      <c r="BK324" s="84"/>
      <c r="BL324" s="44"/>
      <c r="BM324" s="79">
        <f t="shared" si="40"/>
        <v>0</v>
      </c>
      <c r="BN324" s="75"/>
      <c r="BO324" s="75"/>
    </row>
    <row r="325" spans="1:67" s="4" customFormat="1" ht="62.4" x14ac:dyDescent="0.3">
      <c r="A325" s="48">
        <v>24</v>
      </c>
      <c r="B325" s="42" t="s">
        <v>888</v>
      </c>
      <c r="C325" s="48" t="s">
        <v>41</v>
      </c>
      <c r="D325" s="39">
        <v>2</v>
      </c>
      <c r="E325" s="39">
        <v>1</v>
      </c>
      <c r="F325" s="39">
        <v>1</v>
      </c>
      <c r="G325" s="41">
        <v>1</v>
      </c>
      <c r="H325" s="41"/>
      <c r="I325" s="39"/>
      <c r="J325" s="41"/>
      <c r="K325" s="42"/>
      <c r="L325" s="42" t="s">
        <v>91</v>
      </c>
      <c r="M325" s="48">
        <v>25</v>
      </c>
      <c r="N325" s="206">
        <v>265</v>
      </c>
      <c r="O325" s="48"/>
      <c r="P325" s="92"/>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78"/>
      <c r="BK325" s="84"/>
      <c r="BL325" s="44"/>
      <c r="BM325" s="79">
        <f t="shared" si="40"/>
        <v>0</v>
      </c>
      <c r="BN325" s="75"/>
      <c r="BO325" s="75"/>
    </row>
    <row r="326" spans="1:67" s="4" customFormat="1" ht="31.2" x14ac:dyDescent="0.3">
      <c r="A326" s="48">
        <v>25</v>
      </c>
      <c r="B326" s="42" t="s">
        <v>474</v>
      </c>
      <c r="C326" s="48" t="s">
        <v>41</v>
      </c>
      <c r="D326" s="39">
        <v>0.31</v>
      </c>
      <c r="E326" s="39"/>
      <c r="F326" s="39">
        <v>0.31</v>
      </c>
      <c r="G326" s="39">
        <v>0.31</v>
      </c>
      <c r="H326" s="40"/>
      <c r="I326" s="39"/>
      <c r="J326" s="39"/>
      <c r="K326" s="42" t="s">
        <v>992</v>
      </c>
      <c r="L326" s="42" t="s">
        <v>91</v>
      </c>
      <c r="M326" s="44">
        <v>20</v>
      </c>
      <c r="N326" s="209">
        <v>266</v>
      </c>
      <c r="O326" s="44"/>
      <c r="P326" s="12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78">
        <f>D326-E326-F326</f>
        <v>0</v>
      </c>
      <c r="BK326" s="84"/>
      <c r="BL326" s="44">
        <v>22</v>
      </c>
      <c r="BM326" s="79">
        <f t="shared" si="40"/>
        <v>0</v>
      </c>
      <c r="BN326" s="75"/>
      <c r="BO326" s="75"/>
    </row>
    <row r="327" spans="1:67" s="4" customFormat="1" ht="35.25" customHeight="1" x14ac:dyDescent="0.3">
      <c r="A327" s="48">
        <v>26</v>
      </c>
      <c r="B327" s="42" t="s">
        <v>95</v>
      </c>
      <c r="C327" s="43" t="s">
        <v>41</v>
      </c>
      <c r="D327" s="41">
        <v>0.75</v>
      </c>
      <c r="E327" s="41"/>
      <c r="F327" s="41">
        <v>0.75</v>
      </c>
      <c r="G327" s="41">
        <v>0</v>
      </c>
      <c r="H327" s="41"/>
      <c r="I327" s="39"/>
      <c r="J327" s="41">
        <v>0.75</v>
      </c>
      <c r="K327" s="42" t="s">
        <v>993</v>
      </c>
      <c r="L327" s="92" t="s">
        <v>93</v>
      </c>
      <c r="M327" s="43">
        <v>12</v>
      </c>
      <c r="N327" s="210">
        <v>267</v>
      </c>
      <c r="O327" s="43"/>
      <c r="P327" s="43"/>
      <c r="Q327" s="84"/>
      <c r="R327" s="84"/>
      <c r="S327" s="84"/>
      <c r="T327" s="84"/>
      <c r="U327" s="84"/>
      <c r="V327" s="84"/>
      <c r="W327" s="84"/>
      <c r="X327" s="84"/>
      <c r="Y327" s="84"/>
      <c r="Z327" s="84">
        <v>0.15</v>
      </c>
      <c r="AA327" s="84">
        <v>0.2</v>
      </c>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v>0.4</v>
      </c>
      <c r="BF327" s="84"/>
      <c r="BG327" s="84"/>
      <c r="BH327" s="84"/>
      <c r="BI327" s="84"/>
      <c r="BJ327" s="78">
        <f>D327-E327-F327</f>
        <v>0</v>
      </c>
      <c r="BK327" s="84"/>
      <c r="BL327" s="44">
        <v>22</v>
      </c>
      <c r="BM327" s="79">
        <f t="shared" si="40"/>
        <v>0</v>
      </c>
      <c r="BN327" s="75"/>
      <c r="BO327" s="75"/>
    </row>
    <row r="328" spans="1:67" s="4" customFormat="1" ht="31.2" x14ac:dyDescent="0.3">
      <c r="A328" s="48">
        <v>27</v>
      </c>
      <c r="B328" s="42" t="s">
        <v>472</v>
      </c>
      <c r="C328" s="43" t="s">
        <v>41</v>
      </c>
      <c r="D328" s="41">
        <v>4.5</v>
      </c>
      <c r="E328" s="41">
        <v>2.5</v>
      </c>
      <c r="F328" s="41">
        <v>2</v>
      </c>
      <c r="G328" s="41">
        <v>0.5</v>
      </c>
      <c r="H328" s="41"/>
      <c r="I328" s="39"/>
      <c r="J328" s="41">
        <v>1.5</v>
      </c>
      <c r="K328" s="42"/>
      <c r="L328" s="92" t="s">
        <v>93</v>
      </c>
      <c r="M328" s="43">
        <v>6</v>
      </c>
      <c r="N328" s="210">
        <v>268</v>
      </c>
      <c r="O328" s="43"/>
      <c r="P328" s="43"/>
      <c r="Q328" s="84"/>
      <c r="R328" s="84"/>
      <c r="S328" s="84"/>
      <c r="T328" s="84"/>
      <c r="U328" s="84"/>
      <c r="V328" s="84"/>
      <c r="W328" s="84"/>
      <c r="X328" s="84"/>
      <c r="Y328" s="84"/>
      <c r="Z328" s="84">
        <v>0.5</v>
      </c>
      <c r="AA328" s="84">
        <v>0.5</v>
      </c>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v>0.5</v>
      </c>
      <c r="BF328" s="84"/>
      <c r="BG328" s="84"/>
      <c r="BH328" s="84"/>
      <c r="BI328" s="84"/>
      <c r="BJ328" s="78"/>
      <c r="BK328" s="84"/>
      <c r="BL328" s="44"/>
      <c r="BM328" s="79">
        <f t="shared" si="40"/>
        <v>0</v>
      </c>
      <c r="BN328" s="75"/>
      <c r="BO328" s="75"/>
    </row>
    <row r="329" spans="1:67" s="4" customFormat="1" ht="31.2" x14ac:dyDescent="0.3">
      <c r="A329" s="48">
        <v>28</v>
      </c>
      <c r="B329" s="42" t="s">
        <v>96</v>
      </c>
      <c r="C329" s="43" t="s">
        <v>41</v>
      </c>
      <c r="D329" s="41">
        <v>0.1</v>
      </c>
      <c r="E329" s="41"/>
      <c r="F329" s="41">
        <v>0.1</v>
      </c>
      <c r="G329" s="41">
        <v>0</v>
      </c>
      <c r="H329" s="41"/>
      <c r="I329" s="39"/>
      <c r="J329" s="41">
        <v>0.1</v>
      </c>
      <c r="K329" s="42" t="s">
        <v>994</v>
      </c>
      <c r="L329" s="92" t="s">
        <v>93</v>
      </c>
      <c r="M329" s="43">
        <v>13</v>
      </c>
      <c r="N329" s="210">
        <v>269</v>
      </c>
      <c r="O329" s="43"/>
      <c r="P329" s="43"/>
      <c r="Q329" s="84"/>
      <c r="R329" s="84"/>
      <c r="S329" s="84"/>
      <c r="T329" s="84"/>
      <c r="U329" s="84"/>
      <c r="V329" s="84"/>
      <c r="W329" s="84"/>
      <c r="X329" s="84"/>
      <c r="Y329" s="84"/>
      <c r="Z329" s="84">
        <v>0.05</v>
      </c>
      <c r="AA329" s="84">
        <v>0.05</v>
      </c>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78">
        <f t="shared" ref="BJ329:BJ360" si="47">D329-E329-F329</f>
        <v>0</v>
      </c>
      <c r="BK329" s="84"/>
      <c r="BL329" s="44">
        <v>22</v>
      </c>
      <c r="BM329" s="79">
        <f t="shared" si="40"/>
        <v>0</v>
      </c>
      <c r="BN329" s="75"/>
      <c r="BO329" s="75"/>
    </row>
    <row r="330" spans="1:67" s="4" customFormat="1" ht="31.2" x14ac:dyDescent="0.3">
      <c r="A330" s="48">
        <v>29</v>
      </c>
      <c r="B330" s="42" t="s">
        <v>100</v>
      </c>
      <c r="C330" s="48" t="s">
        <v>41</v>
      </c>
      <c r="D330" s="39">
        <v>2</v>
      </c>
      <c r="E330" s="39"/>
      <c r="F330" s="39">
        <v>2</v>
      </c>
      <c r="G330" s="39"/>
      <c r="H330" s="41"/>
      <c r="I330" s="81"/>
      <c r="J330" s="39">
        <v>2</v>
      </c>
      <c r="K330" s="42" t="s">
        <v>893</v>
      </c>
      <c r="L330" s="92" t="s">
        <v>93</v>
      </c>
      <c r="M330" s="48">
        <v>37</v>
      </c>
      <c r="N330" s="206">
        <v>270</v>
      </c>
      <c r="O330" s="48"/>
      <c r="P330" s="48"/>
      <c r="Q330" s="90"/>
      <c r="R330" s="90"/>
      <c r="S330" s="90"/>
      <c r="T330" s="90"/>
      <c r="U330" s="90"/>
      <c r="V330" s="90"/>
      <c r="W330" s="90"/>
      <c r="X330" s="90"/>
      <c r="Y330" s="90"/>
      <c r="Z330" s="90">
        <v>0.5</v>
      </c>
      <c r="AA330" s="90">
        <v>0.5</v>
      </c>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v>1</v>
      </c>
      <c r="BF330" s="90"/>
      <c r="BG330" s="90"/>
      <c r="BH330" s="90"/>
      <c r="BI330" s="90"/>
      <c r="BJ330" s="78">
        <f t="shared" si="47"/>
        <v>0</v>
      </c>
      <c r="BK330" s="84"/>
      <c r="BL330" s="44">
        <v>22</v>
      </c>
      <c r="BM330" s="79">
        <f t="shared" si="40"/>
        <v>0</v>
      </c>
      <c r="BN330" s="75"/>
      <c r="BO330" s="75"/>
    </row>
    <row r="331" spans="1:67" s="4" customFormat="1" ht="65.25" customHeight="1" x14ac:dyDescent="0.3">
      <c r="A331" s="48">
        <v>30</v>
      </c>
      <c r="B331" s="42" t="s">
        <v>659</v>
      </c>
      <c r="C331" s="48" t="s">
        <v>41</v>
      </c>
      <c r="D331" s="39">
        <v>2.0699999999999998</v>
      </c>
      <c r="E331" s="39">
        <v>0.85</v>
      </c>
      <c r="F331" s="39">
        <v>1.22</v>
      </c>
      <c r="G331" s="39">
        <v>0.3</v>
      </c>
      <c r="H331" s="41"/>
      <c r="I331" s="39"/>
      <c r="J331" s="39">
        <v>0.92</v>
      </c>
      <c r="K331" s="42"/>
      <c r="L331" s="92" t="s">
        <v>93</v>
      </c>
      <c r="M331" s="43" t="s">
        <v>889</v>
      </c>
      <c r="N331" s="210">
        <v>271</v>
      </c>
      <c r="O331" s="43"/>
      <c r="P331" s="48"/>
      <c r="Q331" s="44"/>
      <c r="R331" s="44"/>
      <c r="S331" s="44"/>
      <c r="T331" s="44"/>
      <c r="U331" s="44"/>
      <c r="V331" s="44"/>
      <c r="W331" s="44"/>
      <c r="X331" s="44"/>
      <c r="Y331" s="44"/>
      <c r="Z331" s="39">
        <v>0.92</v>
      </c>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78">
        <f t="shared" si="47"/>
        <v>0</v>
      </c>
      <c r="BK331" s="84"/>
      <c r="BL331" s="44">
        <v>22</v>
      </c>
      <c r="BM331" s="79">
        <f t="shared" si="40"/>
        <v>0</v>
      </c>
      <c r="BN331" s="75"/>
      <c r="BO331" s="75"/>
    </row>
    <row r="332" spans="1:67" s="4" customFormat="1" ht="31.2" x14ac:dyDescent="0.3">
      <c r="A332" s="48">
        <v>31</v>
      </c>
      <c r="B332" s="42" t="s">
        <v>1070</v>
      </c>
      <c r="C332" s="48" t="s">
        <v>41</v>
      </c>
      <c r="D332" s="39">
        <v>1</v>
      </c>
      <c r="E332" s="39"/>
      <c r="F332" s="39">
        <v>1</v>
      </c>
      <c r="G332" s="39"/>
      <c r="H332" s="41"/>
      <c r="I332" s="39"/>
      <c r="J332" s="39">
        <v>1</v>
      </c>
      <c r="K332" s="42" t="s">
        <v>1035</v>
      </c>
      <c r="L332" s="92" t="s">
        <v>93</v>
      </c>
      <c r="M332" s="48">
        <v>38</v>
      </c>
      <c r="N332" s="206">
        <v>272</v>
      </c>
      <c r="O332" s="48"/>
      <c r="P332" s="48"/>
      <c r="Q332" s="44"/>
      <c r="R332" s="44"/>
      <c r="S332" s="44"/>
      <c r="T332" s="44"/>
      <c r="U332" s="44"/>
      <c r="V332" s="44"/>
      <c r="W332" s="44"/>
      <c r="X332" s="44"/>
      <c r="Y332" s="44"/>
      <c r="Z332" s="44"/>
      <c r="AA332" s="44">
        <v>0.3</v>
      </c>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v>0.7</v>
      </c>
      <c r="BF332" s="44"/>
      <c r="BG332" s="44"/>
      <c r="BH332" s="44"/>
      <c r="BI332" s="44"/>
      <c r="BJ332" s="78">
        <f t="shared" si="47"/>
        <v>0</v>
      </c>
      <c r="BK332" s="84"/>
      <c r="BL332" s="44">
        <v>22</v>
      </c>
      <c r="BM332" s="79">
        <f t="shared" si="40"/>
        <v>0</v>
      </c>
      <c r="BN332" s="75"/>
      <c r="BO332" s="75"/>
    </row>
    <row r="333" spans="1:67" s="4" customFormat="1" ht="51.75" customHeight="1" x14ac:dyDescent="0.3">
      <c r="A333" s="48">
        <v>32</v>
      </c>
      <c r="B333" s="42" t="s">
        <v>669</v>
      </c>
      <c r="C333" s="48" t="s">
        <v>41</v>
      </c>
      <c r="D333" s="39">
        <v>5</v>
      </c>
      <c r="E333" s="39">
        <v>2</v>
      </c>
      <c r="F333" s="39">
        <v>3</v>
      </c>
      <c r="G333" s="39"/>
      <c r="H333" s="41"/>
      <c r="I333" s="39"/>
      <c r="J333" s="39">
        <v>3</v>
      </c>
      <c r="K333" s="42"/>
      <c r="L333" s="92" t="s">
        <v>771</v>
      </c>
      <c r="M333" s="48" t="s">
        <v>672</v>
      </c>
      <c r="N333" s="206">
        <v>273</v>
      </c>
      <c r="O333" s="48"/>
      <c r="P333" s="48"/>
      <c r="Q333" s="44"/>
      <c r="R333" s="44"/>
      <c r="S333" s="44"/>
      <c r="T333" s="44"/>
      <c r="U333" s="44"/>
      <c r="V333" s="44"/>
      <c r="W333" s="44"/>
      <c r="X333" s="44"/>
      <c r="Y333" s="44"/>
      <c r="Z333" s="44">
        <v>3</v>
      </c>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78">
        <f t="shared" si="47"/>
        <v>0</v>
      </c>
      <c r="BK333" s="84"/>
      <c r="BL333" s="44">
        <v>22</v>
      </c>
      <c r="BM333" s="79">
        <f t="shared" si="40"/>
        <v>0</v>
      </c>
      <c r="BN333" s="75"/>
      <c r="BO333" s="75"/>
    </row>
    <row r="334" spans="1:67" s="4" customFormat="1" ht="46.8" x14ac:dyDescent="0.3">
      <c r="A334" s="48">
        <v>33</v>
      </c>
      <c r="B334" s="50" t="s">
        <v>475</v>
      </c>
      <c r="C334" s="39" t="s">
        <v>41</v>
      </c>
      <c r="D334" s="39">
        <v>6.9</v>
      </c>
      <c r="E334" s="39">
        <v>5.3</v>
      </c>
      <c r="F334" s="39">
        <v>1.6</v>
      </c>
      <c r="G334" s="39"/>
      <c r="H334" s="39"/>
      <c r="I334" s="39"/>
      <c r="J334" s="39">
        <v>1.6</v>
      </c>
      <c r="K334" s="50" t="s">
        <v>763</v>
      </c>
      <c r="L334" s="50" t="s">
        <v>102</v>
      </c>
      <c r="M334" s="99">
        <v>36</v>
      </c>
      <c r="N334" s="207">
        <v>274</v>
      </c>
      <c r="O334" s="99"/>
      <c r="P334" s="39"/>
      <c r="Q334" s="39"/>
      <c r="R334" s="39"/>
      <c r="S334" s="39"/>
      <c r="T334" s="39"/>
      <c r="U334" s="39"/>
      <c r="V334" s="39"/>
      <c r="W334" s="39"/>
      <c r="X334" s="39">
        <v>0.4</v>
      </c>
      <c r="Y334" s="39"/>
      <c r="Z334" s="39">
        <v>0.6</v>
      </c>
      <c r="AA334" s="39">
        <v>0.2</v>
      </c>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v>0.4</v>
      </c>
      <c r="BF334" s="39"/>
      <c r="BG334" s="39"/>
      <c r="BH334" s="39"/>
      <c r="BI334" s="39"/>
      <c r="BJ334" s="78">
        <f t="shared" si="47"/>
        <v>0</v>
      </c>
      <c r="BK334" s="39"/>
      <c r="BL334" s="44">
        <v>22</v>
      </c>
      <c r="BM334" s="79">
        <f t="shared" si="40"/>
        <v>0</v>
      </c>
      <c r="BN334" s="75"/>
      <c r="BO334" s="75"/>
    </row>
    <row r="335" spans="1:67" s="4" customFormat="1" ht="62.4" x14ac:dyDescent="0.3">
      <c r="A335" s="48">
        <v>34</v>
      </c>
      <c r="B335" s="50" t="s">
        <v>476</v>
      </c>
      <c r="C335" s="39" t="s">
        <v>41</v>
      </c>
      <c r="D335" s="39">
        <v>5.8</v>
      </c>
      <c r="E335" s="39">
        <v>4.4000000000000004</v>
      </c>
      <c r="F335" s="39">
        <v>1.4</v>
      </c>
      <c r="G335" s="39"/>
      <c r="H335" s="39"/>
      <c r="I335" s="39"/>
      <c r="J335" s="39">
        <v>1.4</v>
      </c>
      <c r="K335" s="50" t="s">
        <v>764</v>
      </c>
      <c r="L335" s="50" t="s">
        <v>102</v>
      </c>
      <c r="M335" s="99">
        <v>37</v>
      </c>
      <c r="N335" s="207">
        <v>275</v>
      </c>
      <c r="O335" s="99"/>
      <c r="P335" s="39"/>
      <c r="Q335" s="39"/>
      <c r="R335" s="39"/>
      <c r="S335" s="39"/>
      <c r="T335" s="39"/>
      <c r="U335" s="39"/>
      <c r="V335" s="39"/>
      <c r="W335" s="39"/>
      <c r="X335" s="39">
        <v>0.55000000000000004</v>
      </c>
      <c r="Y335" s="39"/>
      <c r="Z335" s="39">
        <v>0.5</v>
      </c>
      <c r="AA335" s="39">
        <v>0.15</v>
      </c>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v>0.2</v>
      </c>
      <c r="BF335" s="39"/>
      <c r="BG335" s="39"/>
      <c r="BH335" s="39"/>
      <c r="BI335" s="39"/>
      <c r="BJ335" s="78">
        <f t="shared" si="47"/>
        <v>0</v>
      </c>
      <c r="BK335" s="39"/>
      <c r="BL335" s="44">
        <v>22</v>
      </c>
      <c r="BM335" s="79">
        <f t="shared" si="40"/>
        <v>0</v>
      </c>
      <c r="BN335" s="75"/>
      <c r="BO335" s="75"/>
    </row>
    <row r="336" spans="1:67" s="14" customFormat="1" ht="50.25" customHeight="1" x14ac:dyDescent="0.3">
      <c r="A336" s="48">
        <v>35</v>
      </c>
      <c r="B336" s="50" t="s">
        <v>477</v>
      </c>
      <c r="C336" s="39" t="s">
        <v>41</v>
      </c>
      <c r="D336" s="39">
        <v>2</v>
      </c>
      <c r="E336" s="39"/>
      <c r="F336" s="39">
        <v>2</v>
      </c>
      <c r="G336" s="39">
        <v>0.4</v>
      </c>
      <c r="H336" s="39"/>
      <c r="I336" s="39"/>
      <c r="J336" s="39">
        <v>1.6</v>
      </c>
      <c r="K336" s="50" t="s">
        <v>765</v>
      </c>
      <c r="L336" s="50" t="s">
        <v>102</v>
      </c>
      <c r="M336" s="99">
        <v>30</v>
      </c>
      <c r="N336" s="207">
        <v>276</v>
      </c>
      <c r="O336" s="99"/>
      <c r="P336" s="39"/>
      <c r="Q336" s="39"/>
      <c r="R336" s="39"/>
      <c r="S336" s="39"/>
      <c r="T336" s="39"/>
      <c r="U336" s="39"/>
      <c r="V336" s="39"/>
      <c r="W336" s="39"/>
      <c r="X336" s="39"/>
      <c r="Y336" s="39"/>
      <c r="Z336" s="39">
        <v>0.5</v>
      </c>
      <c r="AA336" s="39">
        <v>0.3</v>
      </c>
      <c r="AB336" s="39">
        <v>0.3</v>
      </c>
      <c r="AC336" s="39"/>
      <c r="AD336" s="39"/>
      <c r="AE336" s="39">
        <v>0.1</v>
      </c>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v>0.4</v>
      </c>
      <c r="BF336" s="39"/>
      <c r="BG336" s="39"/>
      <c r="BH336" s="39"/>
      <c r="BI336" s="39"/>
      <c r="BJ336" s="78">
        <f t="shared" si="47"/>
        <v>0</v>
      </c>
      <c r="BK336" s="39"/>
      <c r="BL336" s="44">
        <v>22</v>
      </c>
      <c r="BM336" s="79">
        <f t="shared" ref="BM336:BM399" si="48">J336-SUM(V336:BH336)</f>
        <v>0</v>
      </c>
      <c r="BN336" s="75"/>
      <c r="BO336" s="75"/>
    </row>
    <row r="337" spans="1:67" s="4" customFormat="1" ht="66.75" customHeight="1" x14ac:dyDescent="0.3">
      <c r="A337" s="48">
        <v>36</v>
      </c>
      <c r="B337" s="42" t="s">
        <v>116</v>
      </c>
      <c r="C337" s="96" t="s">
        <v>41</v>
      </c>
      <c r="D337" s="108">
        <v>0.59</v>
      </c>
      <c r="E337" s="108">
        <v>0.44</v>
      </c>
      <c r="F337" s="108">
        <v>0.15</v>
      </c>
      <c r="G337" s="39"/>
      <c r="H337" s="39"/>
      <c r="I337" s="39"/>
      <c r="J337" s="39">
        <v>0.15</v>
      </c>
      <c r="K337" s="101" t="s">
        <v>109</v>
      </c>
      <c r="L337" s="50" t="s">
        <v>102</v>
      </c>
      <c r="M337" s="99">
        <v>137</v>
      </c>
      <c r="N337" s="207">
        <v>277</v>
      </c>
      <c r="O337" s="9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v>0.15</v>
      </c>
      <c r="BF337" s="39"/>
      <c r="BG337" s="39"/>
      <c r="BH337" s="39"/>
      <c r="BI337" s="39"/>
      <c r="BJ337" s="78">
        <f t="shared" si="47"/>
        <v>0</v>
      </c>
      <c r="BK337" s="39"/>
      <c r="BL337" s="44">
        <v>22</v>
      </c>
      <c r="BM337" s="79">
        <f t="shared" si="48"/>
        <v>0</v>
      </c>
      <c r="BN337" s="75"/>
      <c r="BO337" s="75"/>
    </row>
    <row r="338" spans="1:67" s="4" customFormat="1" x14ac:dyDescent="0.3">
      <c r="A338" s="48">
        <v>37</v>
      </c>
      <c r="B338" s="42" t="s">
        <v>117</v>
      </c>
      <c r="C338" s="96" t="s">
        <v>41</v>
      </c>
      <c r="D338" s="108">
        <v>2.8</v>
      </c>
      <c r="E338" s="108"/>
      <c r="F338" s="108">
        <v>2.8</v>
      </c>
      <c r="G338" s="39"/>
      <c r="H338" s="39"/>
      <c r="I338" s="39"/>
      <c r="J338" s="39">
        <v>2.8</v>
      </c>
      <c r="K338" s="101" t="s">
        <v>101</v>
      </c>
      <c r="L338" s="50" t="s">
        <v>102</v>
      </c>
      <c r="M338" s="99">
        <v>60</v>
      </c>
      <c r="N338" s="207">
        <v>278</v>
      </c>
      <c r="O338" s="99"/>
      <c r="P338" s="39"/>
      <c r="Q338" s="39"/>
      <c r="R338" s="39"/>
      <c r="S338" s="39"/>
      <c r="T338" s="39"/>
      <c r="U338" s="39"/>
      <c r="V338" s="39"/>
      <c r="W338" s="39"/>
      <c r="X338" s="39">
        <v>2.8</v>
      </c>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78">
        <f t="shared" si="47"/>
        <v>0</v>
      </c>
      <c r="BK338" s="39"/>
      <c r="BL338" s="44">
        <v>22</v>
      </c>
      <c r="BM338" s="79">
        <f t="shared" si="48"/>
        <v>0</v>
      </c>
      <c r="BN338" s="75"/>
      <c r="BO338" s="75"/>
    </row>
    <row r="339" spans="1:67" s="4" customFormat="1" ht="46.8" x14ac:dyDescent="0.3">
      <c r="A339" s="48">
        <v>38</v>
      </c>
      <c r="B339" s="42" t="s">
        <v>478</v>
      </c>
      <c r="C339" s="96" t="s">
        <v>41</v>
      </c>
      <c r="D339" s="108">
        <v>10.1</v>
      </c>
      <c r="E339" s="108">
        <v>7.8</v>
      </c>
      <c r="F339" s="108">
        <v>2.2999999999999998</v>
      </c>
      <c r="G339" s="39">
        <v>2.2999999999999998</v>
      </c>
      <c r="H339" s="39"/>
      <c r="I339" s="39"/>
      <c r="J339" s="39"/>
      <c r="K339" s="101" t="s">
        <v>111</v>
      </c>
      <c r="L339" s="50" t="s">
        <v>102</v>
      </c>
      <c r="M339" s="99"/>
      <c r="N339" s="207">
        <v>279</v>
      </c>
      <c r="O339" s="9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78">
        <f t="shared" si="47"/>
        <v>0</v>
      </c>
      <c r="BK339" s="39"/>
      <c r="BL339" s="44">
        <v>22</v>
      </c>
      <c r="BM339" s="79">
        <f t="shared" si="48"/>
        <v>0</v>
      </c>
      <c r="BN339" s="75"/>
      <c r="BO339" s="75"/>
    </row>
    <row r="340" spans="1:67" s="4" customFormat="1" x14ac:dyDescent="0.3">
      <c r="A340" s="48">
        <v>39</v>
      </c>
      <c r="B340" s="50" t="s">
        <v>479</v>
      </c>
      <c r="C340" s="39" t="s">
        <v>41</v>
      </c>
      <c r="D340" s="41">
        <v>0.08</v>
      </c>
      <c r="E340" s="41"/>
      <c r="F340" s="41">
        <v>0.08</v>
      </c>
      <c r="G340" s="39"/>
      <c r="H340" s="39">
        <v>0</v>
      </c>
      <c r="I340" s="39"/>
      <c r="J340" s="39">
        <v>0.08</v>
      </c>
      <c r="K340" s="50" t="s">
        <v>124</v>
      </c>
      <c r="L340" s="122" t="s">
        <v>125</v>
      </c>
      <c r="M340" s="110">
        <v>16</v>
      </c>
      <c r="N340" s="211">
        <v>280</v>
      </c>
      <c r="O340" s="110"/>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v>0.08</v>
      </c>
      <c r="BF340" s="39"/>
      <c r="BG340" s="39"/>
      <c r="BH340" s="39"/>
      <c r="BI340" s="39"/>
      <c r="BJ340" s="78">
        <f t="shared" si="47"/>
        <v>0</v>
      </c>
      <c r="BK340" s="39"/>
      <c r="BL340" s="44">
        <v>22</v>
      </c>
      <c r="BM340" s="79">
        <f t="shared" si="48"/>
        <v>0</v>
      </c>
      <c r="BN340" s="75"/>
      <c r="BO340" s="75"/>
    </row>
    <row r="341" spans="1:67" s="4" customFormat="1" ht="52.5" customHeight="1" x14ac:dyDescent="0.3">
      <c r="A341" s="48">
        <v>40</v>
      </c>
      <c r="B341" s="50" t="s">
        <v>774</v>
      </c>
      <c r="C341" s="39" t="s">
        <v>41</v>
      </c>
      <c r="D341" s="41">
        <v>0.44</v>
      </c>
      <c r="E341" s="41">
        <v>0.26</v>
      </c>
      <c r="F341" s="41">
        <v>0.18</v>
      </c>
      <c r="G341" s="39"/>
      <c r="H341" s="39"/>
      <c r="I341" s="39"/>
      <c r="J341" s="39">
        <v>0.18</v>
      </c>
      <c r="K341" s="50"/>
      <c r="L341" s="122" t="s">
        <v>125</v>
      </c>
      <c r="M341" s="110" t="s">
        <v>672</v>
      </c>
      <c r="N341" s="211">
        <v>281</v>
      </c>
      <c r="O341" s="110"/>
      <c r="P341" s="39"/>
      <c r="Q341" s="39"/>
      <c r="R341" s="39"/>
      <c r="S341" s="39"/>
      <c r="T341" s="39"/>
      <c r="U341" s="39"/>
      <c r="V341" s="39"/>
      <c r="W341" s="39"/>
      <c r="X341" s="39"/>
      <c r="Y341" s="39"/>
      <c r="Z341" s="39">
        <v>0.18</v>
      </c>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78">
        <f t="shared" si="47"/>
        <v>0</v>
      </c>
      <c r="BK341" s="39"/>
      <c r="BL341" s="44">
        <v>22</v>
      </c>
      <c r="BM341" s="79">
        <f t="shared" si="48"/>
        <v>0</v>
      </c>
      <c r="BN341" s="75"/>
      <c r="BO341" s="75"/>
    </row>
    <row r="342" spans="1:67" s="4" customFormat="1" ht="31.2" x14ac:dyDescent="0.3">
      <c r="A342" s="48">
        <v>41</v>
      </c>
      <c r="B342" s="50" t="s">
        <v>704</v>
      </c>
      <c r="C342" s="39" t="s">
        <v>41</v>
      </c>
      <c r="D342" s="41">
        <v>3.65</v>
      </c>
      <c r="E342" s="41">
        <v>2.2999999999999998</v>
      </c>
      <c r="F342" s="41">
        <v>1.35</v>
      </c>
      <c r="G342" s="39"/>
      <c r="H342" s="39">
        <v>0.6</v>
      </c>
      <c r="I342" s="39"/>
      <c r="J342" s="39">
        <v>0.75</v>
      </c>
      <c r="K342" s="50" t="s">
        <v>705</v>
      </c>
      <c r="L342" s="122" t="s">
        <v>125</v>
      </c>
      <c r="M342" s="41">
        <v>17.350000000000001</v>
      </c>
      <c r="N342" s="211">
        <v>282</v>
      </c>
      <c r="O342" s="41"/>
      <c r="P342" s="39">
        <v>0.6</v>
      </c>
      <c r="Q342" s="39"/>
      <c r="R342" s="39"/>
      <c r="S342" s="39"/>
      <c r="T342" s="39"/>
      <c r="U342" s="39"/>
      <c r="V342" s="39"/>
      <c r="W342" s="39"/>
      <c r="X342" s="39"/>
      <c r="Y342" s="39"/>
      <c r="Z342" s="39"/>
      <c r="AA342" s="39">
        <v>0.25</v>
      </c>
      <c r="AB342" s="39"/>
      <c r="AC342" s="39"/>
      <c r="AD342" s="39">
        <v>0.5</v>
      </c>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78">
        <f t="shared" si="47"/>
        <v>0</v>
      </c>
      <c r="BK342" s="39"/>
      <c r="BL342" s="44">
        <v>22</v>
      </c>
      <c r="BM342" s="79">
        <f t="shared" si="48"/>
        <v>0</v>
      </c>
      <c r="BN342" s="75"/>
      <c r="BO342" s="75"/>
    </row>
    <row r="343" spans="1:67" s="4" customFormat="1" x14ac:dyDescent="0.3">
      <c r="A343" s="48">
        <v>42</v>
      </c>
      <c r="B343" s="50" t="s">
        <v>480</v>
      </c>
      <c r="C343" s="39" t="s">
        <v>41</v>
      </c>
      <c r="D343" s="41">
        <v>1</v>
      </c>
      <c r="E343" s="41">
        <v>0.8</v>
      </c>
      <c r="F343" s="41">
        <v>0.2</v>
      </c>
      <c r="G343" s="39"/>
      <c r="H343" s="39">
        <v>0</v>
      </c>
      <c r="I343" s="39"/>
      <c r="J343" s="39">
        <v>0.2</v>
      </c>
      <c r="K343" s="50" t="s">
        <v>128</v>
      </c>
      <c r="L343" s="122" t="s">
        <v>125</v>
      </c>
      <c r="M343" s="110">
        <v>18</v>
      </c>
      <c r="N343" s="211">
        <v>283</v>
      </c>
      <c r="O343" s="110"/>
      <c r="P343" s="39"/>
      <c r="Q343" s="39"/>
      <c r="R343" s="39"/>
      <c r="S343" s="39"/>
      <c r="T343" s="39"/>
      <c r="U343" s="39"/>
      <c r="V343" s="39"/>
      <c r="W343" s="39"/>
      <c r="X343" s="39"/>
      <c r="Y343" s="39"/>
      <c r="Z343" s="39"/>
      <c r="AA343" s="39">
        <v>0.2</v>
      </c>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78">
        <f t="shared" si="47"/>
        <v>0</v>
      </c>
      <c r="BK343" s="39"/>
      <c r="BL343" s="44">
        <v>22</v>
      </c>
      <c r="BM343" s="79">
        <f t="shared" si="48"/>
        <v>0</v>
      </c>
      <c r="BN343" s="75"/>
      <c r="BO343" s="75"/>
    </row>
    <row r="344" spans="1:67" s="4" customFormat="1" ht="31.2" x14ac:dyDescent="0.3">
      <c r="A344" s="48">
        <v>43</v>
      </c>
      <c r="B344" s="50" t="s">
        <v>481</v>
      </c>
      <c r="C344" s="39" t="s">
        <v>41</v>
      </c>
      <c r="D344" s="39">
        <v>9.1</v>
      </c>
      <c r="E344" s="39">
        <v>6.4</v>
      </c>
      <c r="F344" s="39">
        <v>2.7</v>
      </c>
      <c r="G344" s="39">
        <v>0.6</v>
      </c>
      <c r="H344" s="39">
        <v>0</v>
      </c>
      <c r="I344" s="39"/>
      <c r="J344" s="39">
        <v>2.1</v>
      </c>
      <c r="K344" s="50" t="s">
        <v>137</v>
      </c>
      <c r="L344" s="122" t="s">
        <v>125</v>
      </c>
      <c r="M344" s="110">
        <v>19</v>
      </c>
      <c r="N344" s="211">
        <v>284</v>
      </c>
      <c r="O344" s="110"/>
      <c r="P344" s="39"/>
      <c r="Q344" s="39"/>
      <c r="R344" s="39"/>
      <c r="S344" s="39"/>
      <c r="T344" s="39"/>
      <c r="U344" s="39"/>
      <c r="V344" s="39"/>
      <c r="W344" s="39"/>
      <c r="X344" s="39">
        <v>0.3</v>
      </c>
      <c r="Y344" s="39"/>
      <c r="Z344" s="39"/>
      <c r="AA344" s="39">
        <v>0.45</v>
      </c>
      <c r="AB344" s="39"/>
      <c r="AC344" s="39"/>
      <c r="AD344" s="39">
        <v>0.8</v>
      </c>
      <c r="AE344" s="39">
        <v>0.05</v>
      </c>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v>0.5</v>
      </c>
      <c r="BF344" s="39"/>
      <c r="BG344" s="39"/>
      <c r="BH344" s="39"/>
      <c r="BI344" s="39"/>
      <c r="BJ344" s="78">
        <f t="shared" si="47"/>
        <v>0</v>
      </c>
      <c r="BK344" s="39"/>
      <c r="BL344" s="44">
        <v>22</v>
      </c>
      <c r="BM344" s="79">
        <f t="shared" si="48"/>
        <v>0</v>
      </c>
      <c r="BN344" s="75"/>
      <c r="BO344" s="75"/>
    </row>
    <row r="345" spans="1:67" s="4" customFormat="1" ht="37.5" customHeight="1" x14ac:dyDescent="0.3">
      <c r="A345" s="48">
        <v>44</v>
      </c>
      <c r="B345" s="50" t="s">
        <v>139</v>
      </c>
      <c r="C345" s="39" t="s">
        <v>41</v>
      </c>
      <c r="D345" s="39">
        <v>0.74</v>
      </c>
      <c r="E345" s="39">
        <v>0.24</v>
      </c>
      <c r="F345" s="39">
        <v>0.5</v>
      </c>
      <c r="G345" s="39"/>
      <c r="H345" s="39">
        <v>0</v>
      </c>
      <c r="I345" s="39"/>
      <c r="J345" s="39">
        <v>0.5</v>
      </c>
      <c r="K345" s="50"/>
      <c r="L345" s="122" t="s">
        <v>125</v>
      </c>
      <c r="M345" s="99" t="s">
        <v>138</v>
      </c>
      <c r="N345" s="207">
        <v>285</v>
      </c>
      <c r="O345" s="99"/>
      <c r="P345" s="39"/>
      <c r="Q345" s="39"/>
      <c r="R345" s="39"/>
      <c r="S345" s="39"/>
      <c r="T345" s="39"/>
      <c r="U345" s="39"/>
      <c r="V345" s="39"/>
      <c r="W345" s="39"/>
      <c r="X345" s="39"/>
      <c r="Y345" s="39"/>
      <c r="Z345" s="39">
        <v>0.5</v>
      </c>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78">
        <f t="shared" si="47"/>
        <v>0</v>
      </c>
      <c r="BK345" s="39"/>
      <c r="BL345" s="44">
        <v>22</v>
      </c>
      <c r="BM345" s="79">
        <f t="shared" si="48"/>
        <v>0</v>
      </c>
      <c r="BN345" s="75"/>
      <c r="BO345" s="75"/>
    </row>
    <row r="346" spans="1:67" s="14" customFormat="1" ht="68.25" customHeight="1" x14ac:dyDescent="0.3">
      <c r="A346" s="48">
        <v>45</v>
      </c>
      <c r="B346" s="50" t="s">
        <v>140</v>
      </c>
      <c r="C346" s="39" t="s">
        <v>41</v>
      </c>
      <c r="D346" s="39">
        <v>19.95</v>
      </c>
      <c r="E346" s="39">
        <v>3.7</v>
      </c>
      <c r="F346" s="39">
        <v>16.25</v>
      </c>
      <c r="G346" s="39">
        <v>2.2999999999999998</v>
      </c>
      <c r="H346" s="39">
        <v>0</v>
      </c>
      <c r="I346" s="39"/>
      <c r="J346" s="39">
        <v>13.95</v>
      </c>
      <c r="K346" s="50" t="s">
        <v>141</v>
      </c>
      <c r="L346" s="122" t="s">
        <v>125</v>
      </c>
      <c r="M346" s="110">
        <v>50</v>
      </c>
      <c r="N346" s="211">
        <v>286</v>
      </c>
      <c r="O346" s="110"/>
      <c r="P346" s="39"/>
      <c r="Q346" s="39"/>
      <c r="R346" s="39"/>
      <c r="S346" s="39"/>
      <c r="T346" s="39"/>
      <c r="U346" s="39"/>
      <c r="V346" s="39"/>
      <c r="W346" s="39"/>
      <c r="X346" s="39">
        <v>4.4000000000000004</v>
      </c>
      <c r="Y346" s="39"/>
      <c r="Z346" s="39">
        <v>5.6</v>
      </c>
      <c r="AA346" s="39" t="s">
        <v>142</v>
      </c>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v>1</v>
      </c>
      <c r="BE346" s="39">
        <v>2.95</v>
      </c>
      <c r="BF346" s="39"/>
      <c r="BG346" s="39"/>
      <c r="BH346" s="39"/>
      <c r="BI346" s="39"/>
      <c r="BJ346" s="78">
        <f t="shared" si="47"/>
        <v>0</v>
      </c>
      <c r="BK346" s="39"/>
      <c r="BL346" s="44">
        <v>22</v>
      </c>
      <c r="BM346" s="79">
        <f t="shared" si="48"/>
        <v>0</v>
      </c>
      <c r="BN346" s="75"/>
      <c r="BO346" s="75"/>
    </row>
    <row r="347" spans="1:67" s="4" customFormat="1" ht="31.2" x14ac:dyDescent="0.3">
      <c r="A347" s="48">
        <v>46</v>
      </c>
      <c r="B347" s="50" t="s">
        <v>143</v>
      </c>
      <c r="C347" s="39" t="s">
        <v>41</v>
      </c>
      <c r="D347" s="41">
        <v>14.18</v>
      </c>
      <c r="E347" s="41"/>
      <c r="F347" s="41">
        <v>14.18</v>
      </c>
      <c r="G347" s="41">
        <v>1.8</v>
      </c>
      <c r="H347" s="39">
        <v>0</v>
      </c>
      <c r="I347" s="39"/>
      <c r="J347" s="39">
        <v>12.38</v>
      </c>
      <c r="K347" s="50" t="s">
        <v>144</v>
      </c>
      <c r="L347" s="122" t="s">
        <v>125</v>
      </c>
      <c r="M347" s="110"/>
      <c r="N347" s="211">
        <v>287</v>
      </c>
      <c r="O347" s="110"/>
      <c r="P347" s="41"/>
      <c r="Q347" s="39"/>
      <c r="R347" s="39"/>
      <c r="S347" s="39"/>
      <c r="T347" s="39"/>
      <c r="U347" s="39"/>
      <c r="V347" s="39"/>
      <c r="W347" s="39"/>
      <c r="X347" s="39">
        <v>5.4</v>
      </c>
      <c r="Y347" s="39"/>
      <c r="Z347" s="39">
        <v>4.7</v>
      </c>
      <c r="AA347" s="39">
        <v>1.1000000000000001</v>
      </c>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v>1.18</v>
      </c>
      <c r="BF347" s="39"/>
      <c r="BG347" s="39"/>
      <c r="BH347" s="39"/>
      <c r="BI347" s="39"/>
      <c r="BJ347" s="78">
        <f t="shared" si="47"/>
        <v>0</v>
      </c>
      <c r="BK347" s="39"/>
      <c r="BL347" s="44">
        <v>22</v>
      </c>
      <c r="BM347" s="79">
        <f t="shared" si="48"/>
        <v>0</v>
      </c>
      <c r="BN347" s="75"/>
      <c r="BO347" s="75"/>
    </row>
    <row r="348" spans="1:67" s="4" customFormat="1" ht="55.5" customHeight="1" x14ac:dyDescent="0.3">
      <c r="A348" s="48">
        <v>47</v>
      </c>
      <c r="B348" s="50" t="s">
        <v>482</v>
      </c>
      <c r="C348" s="39" t="s">
        <v>41</v>
      </c>
      <c r="D348" s="39">
        <v>4.7</v>
      </c>
      <c r="E348" s="39">
        <v>2.1</v>
      </c>
      <c r="F348" s="39">
        <v>2.6</v>
      </c>
      <c r="G348" s="39"/>
      <c r="H348" s="39">
        <v>0</v>
      </c>
      <c r="I348" s="39"/>
      <c r="J348" s="39">
        <v>2.6</v>
      </c>
      <c r="K348" s="50" t="s">
        <v>145</v>
      </c>
      <c r="L348" s="122" t="s">
        <v>125</v>
      </c>
      <c r="M348" s="99">
        <v>29</v>
      </c>
      <c r="N348" s="207">
        <v>288</v>
      </c>
      <c r="O348" s="99"/>
      <c r="P348" s="39"/>
      <c r="Q348" s="39"/>
      <c r="R348" s="39"/>
      <c r="S348" s="39"/>
      <c r="T348" s="39"/>
      <c r="U348" s="39"/>
      <c r="V348" s="39"/>
      <c r="W348" s="39"/>
      <c r="X348" s="39"/>
      <c r="Y348" s="39"/>
      <c r="Z348" s="39"/>
      <c r="AA348" s="39">
        <v>0.4</v>
      </c>
      <c r="AB348" s="39"/>
      <c r="AC348" s="39"/>
      <c r="AD348" s="39">
        <v>0.2</v>
      </c>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v>2</v>
      </c>
      <c r="BF348" s="39"/>
      <c r="BG348" s="39"/>
      <c r="BH348" s="39"/>
      <c r="BI348" s="39"/>
      <c r="BJ348" s="78">
        <f t="shared" si="47"/>
        <v>0</v>
      </c>
      <c r="BK348" s="39"/>
      <c r="BL348" s="44">
        <v>22</v>
      </c>
      <c r="BM348" s="79">
        <f t="shared" si="48"/>
        <v>0</v>
      </c>
      <c r="BN348" s="75"/>
      <c r="BO348" s="75"/>
    </row>
    <row r="349" spans="1:67" s="4" customFormat="1" ht="46.8" x14ac:dyDescent="0.3">
      <c r="A349" s="48">
        <v>48</v>
      </c>
      <c r="B349" s="50" t="s">
        <v>707</v>
      </c>
      <c r="C349" s="39" t="s">
        <v>41</v>
      </c>
      <c r="D349" s="39">
        <v>4.0999999999999996</v>
      </c>
      <c r="E349" s="39">
        <v>2.8</v>
      </c>
      <c r="F349" s="39">
        <v>1.3</v>
      </c>
      <c r="G349" s="39"/>
      <c r="H349" s="39">
        <v>0</v>
      </c>
      <c r="I349" s="39"/>
      <c r="J349" s="39">
        <v>1.3</v>
      </c>
      <c r="K349" s="50" t="s">
        <v>146</v>
      </c>
      <c r="L349" s="122" t="s">
        <v>125</v>
      </c>
      <c r="M349" s="99">
        <v>28</v>
      </c>
      <c r="N349" s="207">
        <v>289</v>
      </c>
      <c r="O349" s="99"/>
      <c r="P349" s="39"/>
      <c r="Q349" s="39"/>
      <c r="R349" s="39"/>
      <c r="S349" s="39"/>
      <c r="T349" s="39"/>
      <c r="U349" s="39"/>
      <c r="V349" s="39"/>
      <c r="W349" s="39"/>
      <c r="X349" s="39"/>
      <c r="Y349" s="39"/>
      <c r="Z349" s="39"/>
      <c r="AA349" s="39">
        <v>0.5</v>
      </c>
      <c r="AB349" s="39"/>
      <c r="AC349" s="39"/>
      <c r="AD349" s="39">
        <v>0.5</v>
      </c>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v>0.3</v>
      </c>
      <c r="BF349" s="39"/>
      <c r="BG349" s="39"/>
      <c r="BH349" s="39"/>
      <c r="BI349" s="39"/>
      <c r="BJ349" s="78">
        <f t="shared" si="47"/>
        <v>0</v>
      </c>
      <c r="BK349" s="39"/>
      <c r="BL349" s="44">
        <v>22</v>
      </c>
      <c r="BM349" s="79">
        <f t="shared" si="48"/>
        <v>0</v>
      </c>
      <c r="BN349" s="75"/>
      <c r="BO349" s="75"/>
    </row>
    <row r="350" spans="1:67" s="4" customFormat="1" ht="36" customHeight="1" x14ac:dyDescent="0.3">
      <c r="A350" s="48">
        <v>49</v>
      </c>
      <c r="B350" s="50" t="s">
        <v>483</v>
      </c>
      <c r="C350" s="39" t="s">
        <v>41</v>
      </c>
      <c r="D350" s="39">
        <v>8.4</v>
      </c>
      <c r="E350" s="39">
        <v>6.3</v>
      </c>
      <c r="F350" s="39">
        <v>2.1</v>
      </c>
      <c r="G350" s="39"/>
      <c r="H350" s="39">
        <v>0</v>
      </c>
      <c r="I350" s="39"/>
      <c r="J350" s="39">
        <v>2.1</v>
      </c>
      <c r="K350" s="101" t="s">
        <v>137</v>
      </c>
      <c r="L350" s="122" t="s">
        <v>125</v>
      </c>
      <c r="M350" s="110">
        <v>36</v>
      </c>
      <c r="N350" s="211">
        <v>290</v>
      </c>
      <c r="O350" s="110"/>
      <c r="P350" s="39"/>
      <c r="Q350" s="39"/>
      <c r="R350" s="39"/>
      <c r="S350" s="39"/>
      <c r="T350" s="39"/>
      <c r="U350" s="39"/>
      <c r="V350" s="39"/>
      <c r="W350" s="39"/>
      <c r="X350" s="39">
        <v>0.6</v>
      </c>
      <c r="Y350" s="39"/>
      <c r="Z350" s="39">
        <v>1</v>
      </c>
      <c r="AA350" s="39">
        <v>0.4</v>
      </c>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v>0.1</v>
      </c>
      <c r="BF350" s="39"/>
      <c r="BG350" s="39"/>
      <c r="BH350" s="39"/>
      <c r="BI350" s="39"/>
      <c r="BJ350" s="78">
        <f t="shared" si="47"/>
        <v>0</v>
      </c>
      <c r="BK350" s="39"/>
      <c r="BL350" s="44">
        <v>22</v>
      </c>
      <c r="BM350" s="79">
        <f t="shared" si="48"/>
        <v>0</v>
      </c>
      <c r="BN350" s="75"/>
      <c r="BO350" s="75"/>
    </row>
    <row r="351" spans="1:67" s="4" customFormat="1" ht="36" customHeight="1" x14ac:dyDescent="0.3">
      <c r="A351" s="48">
        <v>50</v>
      </c>
      <c r="B351" s="50" t="s">
        <v>147</v>
      </c>
      <c r="C351" s="39" t="s">
        <v>41</v>
      </c>
      <c r="D351" s="39">
        <v>2.2000000000000002</v>
      </c>
      <c r="E351" s="39">
        <v>1.5</v>
      </c>
      <c r="F351" s="39">
        <v>0.7</v>
      </c>
      <c r="G351" s="39"/>
      <c r="H351" s="39">
        <v>0.6</v>
      </c>
      <c r="I351" s="39"/>
      <c r="J351" s="39">
        <v>0.1</v>
      </c>
      <c r="K351" s="101" t="s">
        <v>131</v>
      </c>
      <c r="L351" s="122" t="s">
        <v>125</v>
      </c>
      <c r="M351" s="110">
        <v>37</v>
      </c>
      <c r="N351" s="211">
        <v>291</v>
      </c>
      <c r="O351" s="110"/>
      <c r="P351" s="39">
        <v>0.6</v>
      </c>
      <c r="Q351" s="39"/>
      <c r="R351" s="39"/>
      <c r="S351" s="39"/>
      <c r="T351" s="39"/>
      <c r="U351" s="39"/>
      <c r="V351" s="39"/>
      <c r="W351" s="39"/>
      <c r="X351" s="39"/>
      <c r="Y351" s="39"/>
      <c r="Z351" s="39">
        <v>0.1</v>
      </c>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78">
        <f t="shared" si="47"/>
        <v>0</v>
      </c>
      <c r="BK351" s="39"/>
      <c r="BL351" s="44">
        <v>22</v>
      </c>
      <c r="BM351" s="79">
        <f t="shared" si="48"/>
        <v>0</v>
      </c>
      <c r="BN351" s="75"/>
      <c r="BO351" s="75"/>
    </row>
    <row r="352" spans="1:67" s="4" customFormat="1" ht="31.2" x14ac:dyDescent="0.3">
      <c r="A352" s="48">
        <v>51</v>
      </c>
      <c r="B352" s="50" t="s">
        <v>484</v>
      </c>
      <c r="C352" s="39" t="s">
        <v>41</v>
      </c>
      <c r="D352" s="39">
        <v>0.15</v>
      </c>
      <c r="E352" s="39"/>
      <c r="F352" s="39">
        <v>0.15</v>
      </c>
      <c r="G352" s="39">
        <v>0.05</v>
      </c>
      <c r="H352" s="39"/>
      <c r="I352" s="39"/>
      <c r="J352" s="39">
        <v>0.1</v>
      </c>
      <c r="K352" s="50" t="s">
        <v>153</v>
      </c>
      <c r="L352" s="50" t="s">
        <v>154</v>
      </c>
      <c r="M352" s="99">
        <v>27</v>
      </c>
      <c r="N352" s="207">
        <v>292</v>
      </c>
      <c r="O352" s="9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v>0.1</v>
      </c>
      <c r="BF352" s="39"/>
      <c r="BG352" s="39"/>
      <c r="BH352" s="39"/>
      <c r="BI352" s="39"/>
      <c r="BJ352" s="78">
        <f t="shared" si="47"/>
        <v>0</v>
      </c>
      <c r="BK352" s="39"/>
      <c r="BL352" s="44">
        <v>22</v>
      </c>
      <c r="BM352" s="79">
        <f t="shared" si="48"/>
        <v>0</v>
      </c>
      <c r="BN352" s="75"/>
      <c r="BO352" s="75"/>
    </row>
    <row r="353" spans="1:67" s="4" customFormat="1" ht="46.8" x14ac:dyDescent="0.3">
      <c r="A353" s="48">
        <v>52</v>
      </c>
      <c r="B353" s="50" t="s">
        <v>485</v>
      </c>
      <c r="C353" s="39" t="s">
        <v>41</v>
      </c>
      <c r="D353" s="39">
        <v>4</v>
      </c>
      <c r="E353" s="39">
        <v>2.2999999999999998</v>
      </c>
      <c r="F353" s="39">
        <v>1.7</v>
      </c>
      <c r="G353" s="39">
        <v>0.5</v>
      </c>
      <c r="H353" s="39"/>
      <c r="I353" s="39"/>
      <c r="J353" s="39">
        <v>1.2000000000000002</v>
      </c>
      <c r="K353" s="50" t="s">
        <v>169</v>
      </c>
      <c r="L353" s="50" t="s">
        <v>154</v>
      </c>
      <c r="M353" s="99">
        <v>36</v>
      </c>
      <c r="N353" s="207">
        <v>293</v>
      </c>
      <c r="O353" s="99"/>
      <c r="P353" s="39"/>
      <c r="Q353" s="39"/>
      <c r="R353" s="39"/>
      <c r="S353" s="39"/>
      <c r="T353" s="39"/>
      <c r="U353" s="39"/>
      <c r="V353" s="39"/>
      <c r="W353" s="39"/>
      <c r="X353" s="39"/>
      <c r="Y353" s="39"/>
      <c r="Z353" s="39">
        <v>0.8</v>
      </c>
      <c r="AA353" s="39">
        <v>0.4</v>
      </c>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78">
        <f t="shared" si="47"/>
        <v>0</v>
      </c>
      <c r="BK353" s="39"/>
      <c r="BL353" s="44">
        <v>22</v>
      </c>
      <c r="BM353" s="79">
        <f t="shared" si="48"/>
        <v>0</v>
      </c>
      <c r="BN353" s="75"/>
      <c r="BO353" s="75"/>
    </row>
    <row r="354" spans="1:67" s="4" customFormat="1" ht="31.2" x14ac:dyDescent="0.3">
      <c r="A354" s="48">
        <v>53</v>
      </c>
      <c r="B354" s="50" t="s">
        <v>486</v>
      </c>
      <c r="C354" s="39" t="s">
        <v>41</v>
      </c>
      <c r="D354" s="39">
        <v>7.3</v>
      </c>
      <c r="E354" s="39">
        <v>5.3</v>
      </c>
      <c r="F354" s="39">
        <v>2</v>
      </c>
      <c r="G354" s="39">
        <v>0.8</v>
      </c>
      <c r="H354" s="39"/>
      <c r="I354" s="39"/>
      <c r="J354" s="39">
        <v>1.2000000000000002</v>
      </c>
      <c r="K354" s="50" t="s">
        <v>111</v>
      </c>
      <c r="L354" s="50" t="s">
        <v>154</v>
      </c>
      <c r="M354" s="110">
        <v>39</v>
      </c>
      <c r="N354" s="211">
        <v>294</v>
      </c>
      <c r="O354" s="110"/>
      <c r="P354" s="39"/>
      <c r="Q354" s="39"/>
      <c r="R354" s="39"/>
      <c r="S354" s="39"/>
      <c r="T354" s="39"/>
      <c r="U354" s="39"/>
      <c r="V354" s="39"/>
      <c r="W354" s="39"/>
      <c r="X354" s="39"/>
      <c r="Y354" s="39"/>
      <c r="Z354" s="39">
        <v>0.4</v>
      </c>
      <c r="AA354" s="39">
        <v>0.8</v>
      </c>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159"/>
      <c r="BF354" s="39"/>
      <c r="BG354" s="39"/>
      <c r="BH354" s="39"/>
      <c r="BI354" s="39"/>
      <c r="BJ354" s="78">
        <f t="shared" si="47"/>
        <v>0</v>
      </c>
      <c r="BK354" s="39"/>
      <c r="BL354" s="44">
        <v>22</v>
      </c>
      <c r="BM354" s="79">
        <f t="shared" si="48"/>
        <v>0</v>
      </c>
      <c r="BN354" s="75"/>
      <c r="BO354" s="75"/>
    </row>
    <row r="355" spans="1:67" s="4" customFormat="1" ht="46.8" x14ac:dyDescent="0.3">
      <c r="A355" s="48">
        <v>54</v>
      </c>
      <c r="B355" s="42" t="s">
        <v>170</v>
      </c>
      <c r="C355" s="39" t="s">
        <v>41</v>
      </c>
      <c r="D355" s="39">
        <v>8.5</v>
      </c>
      <c r="E355" s="39">
        <v>6.5</v>
      </c>
      <c r="F355" s="39">
        <v>2</v>
      </c>
      <c r="G355" s="39">
        <v>1.2</v>
      </c>
      <c r="H355" s="39"/>
      <c r="I355" s="39"/>
      <c r="J355" s="39">
        <v>0.79999999999999993</v>
      </c>
      <c r="K355" s="50"/>
      <c r="L355" s="50" t="s">
        <v>154</v>
      </c>
      <c r="M355" s="110">
        <v>60</v>
      </c>
      <c r="N355" s="211">
        <v>295</v>
      </c>
      <c r="O355" s="110"/>
      <c r="P355" s="39"/>
      <c r="Q355" s="39"/>
      <c r="R355" s="39"/>
      <c r="S355" s="39"/>
      <c r="T355" s="39"/>
      <c r="U355" s="39"/>
      <c r="V355" s="39"/>
      <c r="W355" s="39"/>
      <c r="X355" s="39"/>
      <c r="Y355" s="39"/>
      <c r="Z355" s="39">
        <v>0.1</v>
      </c>
      <c r="AA355" s="39">
        <v>0.6</v>
      </c>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v>0.1</v>
      </c>
      <c r="BF355" s="39"/>
      <c r="BG355" s="39"/>
      <c r="BH355" s="39"/>
      <c r="BI355" s="39"/>
      <c r="BJ355" s="78">
        <f t="shared" si="47"/>
        <v>0</v>
      </c>
      <c r="BK355" s="39"/>
      <c r="BL355" s="44">
        <v>22</v>
      </c>
      <c r="BM355" s="79">
        <f t="shared" si="48"/>
        <v>0</v>
      </c>
      <c r="BN355" s="75"/>
      <c r="BO355" s="75"/>
    </row>
    <row r="356" spans="1:67" s="4" customFormat="1" ht="31.2" x14ac:dyDescent="0.3">
      <c r="A356" s="48">
        <v>55</v>
      </c>
      <c r="B356" s="160" t="s">
        <v>698</v>
      </c>
      <c r="C356" s="103" t="s">
        <v>41</v>
      </c>
      <c r="D356" s="104">
        <v>0.6</v>
      </c>
      <c r="E356" s="104"/>
      <c r="F356" s="104">
        <v>0.6</v>
      </c>
      <c r="G356" s="104">
        <v>0.6</v>
      </c>
      <c r="H356" s="104"/>
      <c r="I356" s="104"/>
      <c r="J356" s="104"/>
      <c r="K356" s="94" t="s">
        <v>1036</v>
      </c>
      <c r="L356" s="50" t="s">
        <v>179</v>
      </c>
      <c r="M356" s="110" t="s">
        <v>672</v>
      </c>
      <c r="N356" s="211">
        <v>296</v>
      </c>
      <c r="O356" s="110"/>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78">
        <f t="shared" si="47"/>
        <v>0</v>
      </c>
      <c r="BK356" s="39"/>
      <c r="BL356" s="44">
        <v>22</v>
      </c>
      <c r="BM356" s="79">
        <f t="shared" si="48"/>
        <v>0</v>
      </c>
      <c r="BN356" s="75"/>
      <c r="BO356" s="75"/>
    </row>
    <row r="357" spans="1:67" s="66" customFormat="1" ht="69.75" customHeight="1" x14ac:dyDescent="0.3">
      <c r="A357" s="48">
        <v>56</v>
      </c>
      <c r="B357" s="50" t="s">
        <v>947</v>
      </c>
      <c r="C357" s="39" t="s">
        <v>41</v>
      </c>
      <c r="D357" s="39">
        <v>0.2</v>
      </c>
      <c r="E357" s="39"/>
      <c r="F357" s="39">
        <v>0.2</v>
      </c>
      <c r="G357" s="39"/>
      <c r="H357" s="39"/>
      <c r="I357" s="39"/>
      <c r="J357" s="39">
        <v>0.2</v>
      </c>
      <c r="K357" s="50" t="s">
        <v>184</v>
      </c>
      <c r="L357" s="50" t="s">
        <v>179</v>
      </c>
      <c r="M357" s="110" t="s">
        <v>808</v>
      </c>
      <c r="N357" s="211">
        <v>297</v>
      </c>
      <c r="O357" s="110"/>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v>0.2</v>
      </c>
      <c r="BF357" s="39"/>
      <c r="BG357" s="39"/>
      <c r="BH357" s="39"/>
      <c r="BI357" s="39"/>
      <c r="BJ357" s="78">
        <f t="shared" si="47"/>
        <v>0</v>
      </c>
      <c r="BK357" s="84"/>
      <c r="BL357" s="44"/>
      <c r="BM357" s="79">
        <f t="shared" si="48"/>
        <v>0</v>
      </c>
      <c r="BN357" s="161" t="s">
        <v>672</v>
      </c>
      <c r="BO357" s="162"/>
    </row>
    <row r="358" spans="1:67" s="66" customFormat="1" ht="58.5" customHeight="1" x14ac:dyDescent="0.3">
      <c r="A358" s="48">
        <v>57</v>
      </c>
      <c r="B358" s="50" t="s">
        <v>1072</v>
      </c>
      <c r="C358" s="39" t="s">
        <v>41</v>
      </c>
      <c r="D358" s="39">
        <v>3.75</v>
      </c>
      <c r="E358" s="39">
        <v>1.4</v>
      </c>
      <c r="F358" s="39">
        <v>2.35</v>
      </c>
      <c r="G358" s="39">
        <v>1.2</v>
      </c>
      <c r="H358" s="39"/>
      <c r="I358" s="39"/>
      <c r="J358" s="39">
        <v>1.1499999999999999</v>
      </c>
      <c r="K358" s="50" t="s">
        <v>807</v>
      </c>
      <c r="L358" s="50" t="s">
        <v>179</v>
      </c>
      <c r="M358" s="110" t="s">
        <v>808</v>
      </c>
      <c r="N358" s="211">
        <v>298</v>
      </c>
      <c r="O358" s="110"/>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v>1.1499999999999999</v>
      </c>
      <c r="BF358" s="39"/>
      <c r="BG358" s="39"/>
      <c r="BH358" s="39"/>
      <c r="BI358" s="39"/>
      <c r="BJ358" s="78">
        <f t="shared" si="47"/>
        <v>0</v>
      </c>
      <c r="BK358" s="84"/>
      <c r="BL358" s="44"/>
      <c r="BM358" s="79">
        <f t="shared" si="48"/>
        <v>0</v>
      </c>
      <c r="BN358" s="161" t="s">
        <v>672</v>
      </c>
      <c r="BO358" s="162"/>
    </row>
    <row r="359" spans="1:67" s="4" customFormat="1" ht="65.25" customHeight="1" x14ac:dyDescent="0.3">
      <c r="A359" s="48">
        <v>58</v>
      </c>
      <c r="B359" s="50" t="s">
        <v>487</v>
      </c>
      <c r="C359" s="39" t="s">
        <v>41</v>
      </c>
      <c r="D359" s="39">
        <v>3.0999999999999996</v>
      </c>
      <c r="E359" s="39">
        <v>2.4</v>
      </c>
      <c r="F359" s="39">
        <v>0.7</v>
      </c>
      <c r="G359" s="39">
        <v>0.5</v>
      </c>
      <c r="H359" s="39"/>
      <c r="I359" s="39"/>
      <c r="J359" s="39">
        <v>0.2</v>
      </c>
      <c r="K359" s="50" t="s">
        <v>187</v>
      </c>
      <c r="L359" s="50" t="s">
        <v>179</v>
      </c>
      <c r="M359" s="99">
        <v>66</v>
      </c>
      <c r="N359" s="207">
        <v>299</v>
      </c>
      <c r="O359" s="99"/>
      <c r="P359" s="39"/>
      <c r="Q359" s="39"/>
      <c r="R359" s="39"/>
      <c r="S359" s="39"/>
      <c r="T359" s="39"/>
      <c r="U359" s="39"/>
      <c r="V359" s="39"/>
      <c r="W359" s="39"/>
      <c r="X359" s="39"/>
      <c r="Y359" s="39"/>
      <c r="Z359" s="39">
        <v>0.2</v>
      </c>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78">
        <f t="shared" si="47"/>
        <v>0</v>
      </c>
      <c r="BK359" s="84"/>
      <c r="BL359" s="44">
        <v>22</v>
      </c>
      <c r="BM359" s="79">
        <f t="shared" si="48"/>
        <v>0</v>
      </c>
      <c r="BN359" s="75"/>
      <c r="BO359" s="75"/>
    </row>
    <row r="360" spans="1:67" s="4" customFormat="1" ht="62.4" x14ac:dyDescent="0.3">
      <c r="A360" s="48">
        <v>59</v>
      </c>
      <c r="B360" s="50" t="s">
        <v>488</v>
      </c>
      <c r="C360" s="39" t="s">
        <v>41</v>
      </c>
      <c r="D360" s="39">
        <v>2.1</v>
      </c>
      <c r="E360" s="39">
        <v>1.6</v>
      </c>
      <c r="F360" s="39">
        <v>0.5</v>
      </c>
      <c r="G360" s="39">
        <v>0.5</v>
      </c>
      <c r="H360" s="39"/>
      <c r="I360" s="39"/>
      <c r="J360" s="39">
        <v>0</v>
      </c>
      <c r="K360" s="50" t="s">
        <v>184</v>
      </c>
      <c r="L360" s="50" t="s">
        <v>179</v>
      </c>
      <c r="M360" s="99">
        <v>67</v>
      </c>
      <c r="N360" s="207">
        <v>300</v>
      </c>
      <c r="O360" s="9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78">
        <f t="shared" si="47"/>
        <v>0</v>
      </c>
      <c r="BK360" s="84"/>
      <c r="BL360" s="44">
        <v>22</v>
      </c>
      <c r="BM360" s="79">
        <f t="shared" si="48"/>
        <v>0</v>
      </c>
      <c r="BN360" s="75"/>
      <c r="BO360" s="75"/>
    </row>
    <row r="361" spans="1:67" s="4" customFormat="1" ht="62.4" x14ac:dyDescent="0.3">
      <c r="A361" s="48">
        <v>60</v>
      </c>
      <c r="B361" s="50" t="s">
        <v>706</v>
      </c>
      <c r="C361" s="39" t="s">
        <v>41</v>
      </c>
      <c r="D361" s="39">
        <v>2</v>
      </c>
      <c r="E361" s="39">
        <v>1.5</v>
      </c>
      <c r="F361" s="39">
        <v>0.5</v>
      </c>
      <c r="G361" s="39">
        <v>0.5</v>
      </c>
      <c r="H361" s="39"/>
      <c r="I361" s="39"/>
      <c r="J361" s="39">
        <v>0</v>
      </c>
      <c r="K361" s="50" t="s">
        <v>187</v>
      </c>
      <c r="L361" s="50" t="s">
        <v>179</v>
      </c>
      <c r="M361" s="99">
        <v>68</v>
      </c>
      <c r="N361" s="207">
        <v>301</v>
      </c>
      <c r="O361" s="9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78">
        <f t="shared" ref="BJ361:BJ398" si="49">D361-E361-F361</f>
        <v>0</v>
      </c>
      <c r="BK361" s="84"/>
      <c r="BL361" s="44">
        <v>22</v>
      </c>
      <c r="BM361" s="79">
        <f t="shared" si="48"/>
        <v>0</v>
      </c>
      <c r="BN361" s="75"/>
      <c r="BO361" s="75"/>
    </row>
    <row r="362" spans="1:67" s="4" customFormat="1" ht="46.8" x14ac:dyDescent="0.3">
      <c r="A362" s="48">
        <v>61</v>
      </c>
      <c r="B362" s="50" t="s">
        <v>489</v>
      </c>
      <c r="C362" s="39" t="s">
        <v>41</v>
      </c>
      <c r="D362" s="39">
        <v>2.1</v>
      </c>
      <c r="E362" s="39">
        <v>1.6</v>
      </c>
      <c r="F362" s="39">
        <v>0.5</v>
      </c>
      <c r="G362" s="39">
        <v>0</v>
      </c>
      <c r="H362" s="39"/>
      <c r="I362" s="39"/>
      <c r="J362" s="39">
        <v>0.5</v>
      </c>
      <c r="K362" s="50" t="s">
        <v>187</v>
      </c>
      <c r="L362" s="50" t="s">
        <v>179</v>
      </c>
      <c r="M362" s="99">
        <v>69</v>
      </c>
      <c r="N362" s="207">
        <v>302</v>
      </c>
      <c r="O362" s="99"/>
      <c r="P362" s="39"/>
      <c r="Q362" s="39"/>
      <c r="R362" s="39"/>
      <c r="S362" s="39"/>
      <c r="T362" s="39"/>
      <c r="U362" s="39"/>
      <c r="V362" s="39"/>
      <c r="W362" s="39"/>
      <c r="X362" s="39"/>
      <c r="Y362" s="39"/>
      <c r="Z362" s="39"/>
      <c r="AA362" s="39">
        <v>0.5</v>
      </c>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78">
        <f t="shared" si="49"/>
        <v>0</v>
      </c>
      <c r="BK362" s="84"/>
      <c r="BL362" s="44">
        <v>22</v>
      </c>
      <c r="BM362" s="79">
        <f t="shared" si="48"/>
        <v>0</v>
      </c>
      <c r="BN362" s="75"/>
      <c r="BO362" s="75"/>
    </row>
    <row r="363" spans="1:67" s="4" customFormat="1" ht="31.2" x14ac:dyDescent="0.3">
      <c r="A363" s="48">
        <v>62</v>
      </c>
      <c r="B363" s="50" t="s">
        <v>491</v>
      </c>
      <c r="C363" s="39" t="s">
        <v>41</v>
      </c>
      <c r="D363" s="39">
        <v>0.18</v>
      </c>
      <c r="E363" s="39"/>
      <c r="F363" s="39">
        <v>0.18</v>
      </c>
      <c r="G363" s="39">
        <v>0.18</v>
      </c>
      <c r="H363" s="39"/>
      <c r="I363" s="39"/>
      <c r="J363" s="39">
        <v>0</v>
      </c>
      <c r="K363" s="50" t="s">
        <v>195</v>
      </c>
      <c r="L363" s="50" t="s">
        <v>179</v>
      </c>
      <c r="M363" s="110">
        <v>16</v>
      </c>
      <c r="N363" s="211">
        <v>303</v>
      </c>
      <c r="O363" s="110"/>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78">
        <f t="shared" si="49"/>
        <v>0</v>
      </c>
      <c r="BK363" s="84"/>
      <c r="BL363" s="44">
        <v>22</v>
      </c>
      <c r="BM363" s="79">
        <f t="shared" si="48"/>
        <v>0</v>
      </c>
      <c r="BN363" s="75"/>
      <c r="BO363" s="75"/>
    </row>
    <row r="364" spans="1:67" s="4" customFormat="1" ht="31.2" x14ac:dyDescent="0.3">
      <c r="A364" s="48">
        <v>63</v>
      </c>
      <c r="B364" s="50" t="s">
        <v>472</v>
      </c>
      <c r="C364" s="39" t="s">
        <v>41</v>
      </c>
      <c r="D364" s="39">
        <v>4</v>
      </c>
      <c r="E364" s="39"/>
      <c r="F364" s="39">
        <v>4</v>
      </c>
      <c r="G364" s="39">
        <v>2.5499999999999998</v>
      </c>
      <c r="H364" s="39"/>
      <c r="I364" s="39"/>
      <c r="J364" s="39">
        <v>1.45</v>
      </c>
      <c r="K364" s="50" t="s">
        <v>111</v>
      </c>
      <c r="L364" s="50" t="s">
        <v>179</v>
      </c>
      <c r="M364" s="110"/>
      <c r="N364" s="211">
        <v>304</v>
      </c>
      <c r="O364" s="110"/>
      <c r="P364" s="39"/>
      <c r="Q364" s="39"/>
      <c r="R364" s="39"/>
      <c r="S364" s="39"/>
      <c r="T364" s="39"/>
      <c r="U364" s="39"/>
      <c r="V364" s="39"/>
      <c r="W364" s="39"/>
      <c r="X364" s="39"/>
      <c r="Y364" s="39"/>
      <c r="Z364" s="39">
        <v>0.5</v>
      </c>
      <c r="AA364" s="39">
        <v>0.45</v>
      </c>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v>0.5</v>
      </c>
      <c r="BF364" s="39"/>
      <c r="BG364" s="39"/>
      <c r="BH364" s="39"/>
      <c r="BI364" s="39"/>
      <c r="BJ364" s="78">
        <f t="shared" si="49"/>
        <v>0</v>
      </c>
      <c r="BK364" s="84"/>
      <c r="BL364" s="44">
        <v>22</v>
      </c>
      <c r="BM364" s="79">
        <f t="shared" si="48"/>
        <v>0</v>
      </c>
      <c r="BN364" s="75"/>
      <c r="BO364" s="75"/>
    </row>
    <row r="365" spans="1:67" s="4" customFormat="1" ht="46.8" x14ac:dyDescent="0.3">
      <c r="A365" s="48">
        <v>64</v>
      </c>
      <c r="B365" s="50" t="s">
        <v>224</v>
      </c>
      <c r="C365" s="39" t="s">
        <v>41</v>
      </c>
      <c r="D365" s="41">
        <v>6.17</v>
      </c>
      <c r="E365" s="41">
        <v>5.2</v>
      </c>
      <c r="F365" s="41">
        <v>0.97</v>
      </c>
      <c r="G365" s="41">
        <v>0.34</v>
      </c>
      <c r="H365" s="41"/>
      <c r="I365" s="39"/>
      <c r="J365" s="39">
        <v>0.63</v>
      </c>
      <c r="K365" s="50"/>
      <c r="L365" s="50" t="s">
        <v>208</v>
      </c>
      <c r="M365" s="110">
        <v>38</v>
      </c>
      <c r="N365" s="211">
        <v>305</v>
      </c>
      <c r="O365" s="110"/>
      <c r="P365" s="39"/>
      <c r="Q365" s="39"/>
      <c r="R365" s="39"/>
      <c r="S365" s="39"/>
      <c r="T365" s="39"/>
      <c r="U365" s="39"/>
      <c r="V365" s="39"/>
      <c r="W365" s="39"/>
      <c r="X365" s="39"/>
      <c r="Y365" s="39"/>
      <c r="Z365" s="39">
        <v>0.63</v>
      </c>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78">
        <f t="shared" si="49"/>
        <v>0</v>
      </c>
      <c r="BK365" s="84"/>
      <c r="BL365" s="44">
        <v>22</v>
      </c>
      <c r="BM365" s="79">
        <f t="shared" si="48"/>
        <v>0</v>
      </c>
      <c r="BN365" s="75"/>
      <c r="BO365" s="75"/>
    </row>
    <row r="366" spans="1:67" s="4" customFormat="1" ht="31.2" x14ac:dyDescent="0.3">
      <c r="A366" s="48">
        <v>65</v>
      </c>
      <c r="B366" s="50" t="s">
        <v>225</v>
      </c>
      <c r="C366" s="39" t="s">
        <v>41</v>
      </c>
      <c r="D366" s="41">
        <v>0.5</v>
      </c>
      <c r="E366" s="41"/>
      <c r="F366" s="41">
        <v>0.5</v>
      </c>
      <c r="G366" s="41"/>
      <c r="H366" s="41"/>
      <c r="I366" s="39"/>
      <c r="J366" s="39">
        <v>0.5</v>
      </c>
      <c r="K366" s="50" t="s">
        <v>810</v>
      </c>
      <c r="L366" s="50" t="s">
        <v>208</v>
      </c>
      <c r="M366" s="110">
        <v>39</v>
      </c>
      <c r="N366" s="211">
        <v>306</v>
      </c>
      <c r="O366" s="110"/>
      <c r="P366" s="39"/>
      <c r="Q366" s="39"/>
      <c r="R366" s="39"/>
      <c r="S366" s="39"/>
      <c r="T366" s="39"/>
      <c r="U366" s="39"/>
      <c r="V366" s="39"/>
      <c r="W366" s="39"/>
      <c r="X366" s="39"/>
      <c r="Y366" s="39"/>
      <c r="Z366" s="39"/>
      <c r="AA366" s="39">
        <v>0.5</v>
      </c>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78">
        <f t="shared" si="49"/>
        <v>0</v>
      </c>
      <c r="BK366" s="84"/>
      <c r="BL366" s="44">
        <v>22</v>
      </c>
      <c r="BM366" s="79">
        <f t="shared" si="48"/>
        <v>0</v>
      </c>
      <c r="BN366" s="75"/>
      <c r="BO366" s="75"/>
    </row>
    <row r="367" spans="1:67" s="4" customFormat="1" ht="31.2" x14ac:dyDescent="0.3">
      <c r="A367" s="48">
        <v>66</v>
      </c>
      <c r="B367" s="50" t="s">
        <v>226</v>
      </c>
      <c r="C367" s="39" t="s">
        <v>41</v>
      </c>
      <c r="D367" s="41">
        <v>1.75</v>
      </c>
      <c r="E367" s="41">
        <v>1</v>
      </c>
      <c r="F367" s="41">
        <v>0.75</v>
      </c>
      <c r="G367" s="41">
        <v>0.55000000000000004</v>
      </c>
      <c r="H367" s="41"/>
      <c r="I367" s="39"/>
      <c r="J367" s="39">
        <v>0.2</v>
      </c>
      <c r="K367" s="101" t="s">
        <v>215</v>
      </c>
      <c r="L367" s="50" t="s">
        <v>208</v>
      </c>
      <c r="M367" s="110">
        <v>40</v>
      </c>
      <c r="N367" s="211">
        <v>307</v>
      </c>
      <c r="O367" s="110"/>
      <c r="P367" s="39"/>
      <c r="Q367" s="39"/>
      <c r="R367" s="39"/>
      <c r="S367" s="39"/>
      <c r="T367" s="39"/>
      <c r="U367" s="39"/>
      <c r="V367" s="39"/>
      <c r="W367" s="39"/>
      <c r="X367" s="39"/>
      <c r="Y367" s="39"/>
      <c r="Z367" s="39">
        <v>0.2</v>
      </c>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78">
        <f t="shared" si="49"/>
        <v>0</v>
      </c>
      <c r="BK367" s="84"/>
      <c r="BL367" s="44">
        <v>22</v>
      </c>
      <c r="BM367" s="79">
        <f t="shared" si="48"/>
        <v>0</v>
      </c>
      <c r="BN367" s="75"/>
      <c r="BO367" s="75"/>
    </row>
    <row r="368" spans="1:67" s="4" customFormat="1" ht="46.8" x14ac:dyDescent="0.3">
      <c r="A368" s="48">
        <v>67</v>
      </c>
      <c r="B368" s="50" t="s">
        <v>492</v>
      </c>
      <c r="C368" s="39" t="s">
        <v>41</v>
      </c>
      <c r="D368" s="39">
        <v>2.5</v>
      </c>
      <c r="E368" s="39">
        <v>1.5</v>
      </c>
      <c r="F368" s="39">
        <v>1</v>
      </c>
      <c r="G368" s="39">
        <v>0.2</v>
      </c>
      <c r="H368" s="39"/>
      <c r="I368" s="39"/>
      <c r="J368" s="39">
        <v>0.8</v>
      </c>
      <c r="K368" s="50" t="s">
        <v>211</v>
      </c>
      <c r="L368" s="50" t="s">
        <v>208</v>
      </c>
      <c r="M368" s="99">
        <v>35</v>
      </c>
      <c r="N368" s="207">
        <v>308</v>
      </c>
      <c r="O368" s="99"/>
      <c r="P368" s="39"/>
      <c r="Q368" s="39"/>
      <c r="R368" s="39"/>
      <c r="S368" s="39"/>
      <c r="T368" s="39"/>
      <c r="U368" s="39"/>
      <c r="V368" s="39"/>
      <c r="W368" s="39"/>
      <c r="X368" s="39"/>
      <c r="Y368" s="39"/>
      <c r="Z368" s="39">
        <v>0.3</v>
      </c>
      <c r="AA368" s="39">
        <v>0.1</v>
      </c>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v>0.4</v>
      </c>
      <c r="BF368" s="39"/>
      <c r="BG368" s="39"/>
      <c r="BH368" s="39"/>
      <c r="BI368" s="39"/>
      <c r="BJ368" s="78">
        <f t="shared" si="49"/>
        <v>0</v>
      </c>
      <c r="BK368" s="84"/>
      <c r="BL368" s="44">
        <v>22</v>
      </c>
      <c r="BM368" s="79">
        <f t="shared" si="48"/>
        <v>0</v>
      </c>
      <c r="BN368" s="75"/>
      <c r="BO368" s="75"/>
    </row>
    <row r="369" spans="1:67" s="4" customFormat="1" ht="46.8" x14ac:dyDescent="0.3">
      <c r="A369" s="48">
        <v>68</v>
      </c>
      <c r="B369" s="42" t="s">
        <v>227</v>
      </c>
      <c r="C369" s="39" t="s">
        <v>41</v>
      </c>
      <c r="D369" s="39">
        <v>5.5</v>
      </c>
      <c r="E369" s="39">
        <v>3.5</v>
      </c>
      <c r="F369" s="39">
        <v>2</v>
      </c>
      <c r="G369" s="39">
        <v>1.3</v>
      </c>
      <c r="H369" s="39"/>
      <c r="I369" s="39"/>
      <c r="J369" s="39">
        <v>0.70000000000000007</v>
      </c>
      <c r="K369" s="50" t="s">
        <v>228</v>
      </c>
      <c r="L369" s="50" t="s">
        <v>208</v>
      </c>
      <c r="M369" s="99">
        <v>61</v>
      </c>
      <c r="N369" s="207">
        <v>309</v>
      </c>
      <c r="O369" s="99"/>
      <c r="P369" s="39"/>
      <c r="Q369" s="39"/>
      <c r="R369" s="39"/>
      <c r="S369" s="39"/>
      <c r="T369" s="39"/>
      <c r="U369" s="39"/>
      <c r="V369" s="39"/>
      <c r="W369" s="39"/>
      <c r="X369" s="39"/>
      <c r="Y369" s="39"/>
      <c r="Z369" s="39">
        <v>0.2</v>
      </c>
      <c r="AA369" s="39">
        <v>0.4</v>
      </c>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v>0.1</v>
      </c>
      <c r="BF369" s="39"/>
      <c r="BG369" s="39"/>
      <c r="BH369" s="39"/>
      <c r="BI369" s="39"/>
      <c r="BJ369" s="78">
        <f t="shared" si="49"/>
        <v>0</v>
      </c>
      <c r="BK369" s="84"/>
      <c r="BL369" s="44">
        <v>22</v>
      </c>
      <c r="BM369" s="79">
        <f t="shared" si="48"/>
        <v>0</v>
      </c>
      <c r="BN369" s="75"/>
      <c r="BO369" s="75"/>
    </row>
    <row r="370" spans="1:67" s="4" customFormat="1" ht="31.2" x14ac:dyDescent="0.3">
      <c r="A370" s="48">
        <v>69</v>
      </c>
      <c r="B370" s="50" t="s">
        <v>229</v>
      </c>
      <c r="C370" s="39" t="s">
        <v>41</v>
      </c>
      <c r="D370" s="39">
        <v>4.5999999999999996</v>
      </c>
      <c r="E370" s="39">
        <v>2.5</v>
      </c>
      <c r="F370" s="39">
        <v>2.1</v>
      </c>
      <c r="G370" s="39"/>
      <c r="H370" s="39"/>
      <c r="I370" s="39"/>
      <c r="J370" s="39">
        <v>2.0999999999999996</v>
      </c>
      <c r="K370" s="50"/>
      <c r="L370" s="50" t="s">
        <v>208</v>
      </c>
      <c r="M370" s="99"/>
      <c r="N370" s="207">
        <v>310</v>
      </c>
      <c r="O370" s="99"/>
      <c r="P370" s="39"/>
      <c r="Q370" s="39"/>
      <c r="R370" s="39"/>
      <c r="S370" s="39"/>
      <c r="T370" s="39"/>
      <c r="U370" s="39"/>
      <c r="V370" s="39"/>
      <c r="W370" s="39"/>
      <c r="X370" s="39">
        <v>0.8</v>
      </c>
      <c r="Y370" s="39"/>
      <c r="Z370" s="39">
        <v>0.6</v>
      </c>
      <c r="AA370" s="39">
        <v>0.7</v>
      </c>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78">
        <f t="shared" si="49"/>
        <v>0</v>
      </c>
      <c r="BK370" s="84"/>
      <c r="BL370" s="44">
        <v>22</v>
      </c>
      <c r="BM370" s="79">
        <f t="shared" si="48"/>
        <v>0</v>
      </c>
      <c r="BN370" s="75"/>
      <c r="BO370" s="75"/>
    </row>
    <row r="371" spans="1:67" s="4" customFormat="1" ht="51.75" customHeight="1" x14ac:dyDescent="0.3">
      <c r="A371" s="48">
        <v>70</v>
      </c>
      <c r="B371" s="42" t="s">
        <v>230</v>
      </c>
      <c r="C371" s="39" t="s">
        <v>41</v>
      </c>
      <c r="D371" s="39">
        <v>12</v>
      </c>
      <c r="E371" s="39">
        <v>6.7</v>
      </c>
      <c r="F371" s="39">
        <v>5.3</v>
      </c>
      <c r="G371" s="39">
        <v>2.1</v>
      </c>
      <c r="H371" s="39"/>
      <c r="I371" s="39"/>
      <c r="J371" s="39">
        <v>3.1999999999999997</v>
      </c>
      <c r="K371" s="50" t="s">
        <v>231</v>
      </c>
      <c r="L371" s="50" t="s">
        <v>208</v>
      </c>
      <c r="M371" s="99">
        <v>60</v>
      </c>
      <c r="N371" s="207">
        <v>311</v>
      </c>
      <c r="O371" s="99"/>
      <c r="P371" s="39"/>
      <c r="Q371" s="39"/>
      <c r="R371" s="39"/>
      <c r="S371" s="39"/>
      <c r="T371" s="39"/>
      <c r="U371" s="39"/>
      <c r="V371" s="39"/>
      <c r="W371" s="39"/>
      <c r="X371" s="39"/>
      <c r="Y371" s="39"/>
      <c r="Z371" s="39"/>
      <c r="AA371" s="39">
        <v>0.35</v>
      </c>
      <c r="AB371" s="39"/>
      <c r="AC371" s="39"/>
      <c r="AD371" s="39">
        <v>0.5</v>
      </c>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v>1.2</v>
      </c>
      <c r="BE371" s="39">
        <v>1.1499999999999999</v>
      </c>
      <c r="BF371" s="39"/>
      <c r="BG371" s="39"/>
      <c r="BH371" s="39"/>
      <c r="BI371" s="39"/>
      <c r="BJ371" s="78">
        <f t="shared" si="49"/>
        <v>0</v>
      </c>
      <c r="BK371" s="84"/>
      <c r="BL371" s="44">
        <v>22</v>
      </c>
      <c r="BM371" s="79">
        <f t="shared" si="48"/>
        <v>0</v>
      </c>
      <c r="BN371" s="75"/>
      <c r="BO371" s="75"/>
    </row>
    <row r="372" spans="1:67" s="61" customFormat="1" ht="49.5" customHeight="1" x14ac:dyDescent="0.3">
      <c r="A372" s="48">
        <v>71</v>
      </c>
      <c r="B372" s="42" t="s">
        <v>242</v>
      </c>
      <c r="C372" s="48" t="s">
        <v>41</v>
      </c>
      <c r="D372" s="39">
        <v>4.2</v>
      </c>
      <c r="E372" s="39">
        <v>1.3</v>
      </c>
      <c r="F372" s="39">
        <v>2.9</v>
      </c>
      <c r="G372" s="39">
        <v>0.5</v>
      </c>
      <c r="H372" s="39"/>
      <c r="I372" s="39"/>
      <c r="J372" s="39">
        <v>2.4</v>
      </c>
      <c r="K372" s="42"/>
      <c r="L372" s="42" t="s">
        <v>233</v>
      </c>
      <c r="M372" s="44">
        <v>28</v>
      </c>
      <c r="N372" s="209">
        <v>312</v>
      </c>
      <c r="O372" s="44"/>
      <c r="P372" s="84"/>
      <c r="Q372" s="84"/>
      <c r="R372" s="84"/>
      <c r="S372" s="84"/>
      <c r="T372" s="84"/>
      <c r="U372" s="84"/>
      <c r="V372" s="84"/>
      <c r="W372" s="84"/>
      <c r="X372" s="84"/>
      <c r="Y372" s="84"/>
      <c r="Z372" s="84">
        <v>2.4</v>
      </c>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78">
        <f t="shared" si="49"/>
        <v>0</v>
      </c>
      <c r="BK372" s="97"/>
      <c r="BL372" s="44">
        <v>22</v>
      </c>
      <c r="BM372" s="79">
        <f t="shared" si="48"/>
        <v>0</v>
      </c>
      <c r="BN372" s="75"/>
      <c r="BO372" s="75"/>
    </row>
    <row r="373" spans="1:67" s="4" customFormat="1" ht="31.2" x14ac:dyDescent="0.3">
      <c r="A373" s="48">
        <v>72</v>
      </c>
      <c r="B373" s="42" t="s">
        <v>243</v>
      </c>
      <c r="C373" s="48" t="s">
        <v>41</v>
      </c>
      <c r="D373" s="39">
        <v>0.5</v>
      </c>
      <c r="E373" s="39"/>
      <c r="F373" s="39">
        <v>0.5</v>
      </c>
      <c r="G373" s="39">
        <v>0.5</v>
      </c>
      <c r="H373" s="39"/>
      <c r="I373" s="39"/>
      <c r="J373" s="39"/>
      <c r="K373" s="42" t="s">
        <v>984</v>
      </c>
      <c r="L373" s="42" t="s">
        <v>233</v>
      </c>
      <c r="M373" s="44">
        <v>31</v>
      </c>
      <c r="N373" s="209">
        <v>313</v>
      </c>
      <c r="O373" s="44"/>
      <c r="P373" s="90"/>
      <c r="Q373" s="90"/>
      <c r="R373" s="90"/>
      <c r="S373" s="90"/>
      <c r="T373" s="90"/>
      <c r="U373" s="90"/>
      <c r="V373" s="90"/>
      <c r="W373" s="90"/>
      <c r="X373" s="90"/>
      <c r="Y373" s="90"/>
      <c r="Z373" s="44"/>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78">
        <f t="shared" si="49"/>
        <v>0</v>
      </c>
      <c r="BK373" s="97"/>
      <c r="BL373" s="44">
        <v>22</v>
      </c>
      <c r="BM373" s="79">
        <f t="shared" si="48"/>
        <v>0</v>
      </c>
      <c r="BN373" s="75"/>
      <c r="BO373" s="75"/>
    </row>
    <row r="374" spans="1:67" s="4" customFormat="1" ht="31.2" x14ac:dyDescent="0.3">
      <c r="A374" s="48">
        <v>73</v>
      </c>
      <c r="B374" s="42" t="s">
        <v>246</v>
      </c>
      <c r="C374" s="48" t="s">
        <v>41</v>
      </c>
      <c r="D374" s="39">
        <v>5.83</v>
      </c>
      <c r="E374" s="39"/>
      <c r="F374" s="39">
        <v>5.83</v>
      </c>
      <c r="G374" s="39">
        <v>4.5</v>
      </c>
      <c r="H374" s="39"/>
      <c r="I374" s="39"/>
      <c r="J374" s="39">
        <v>1.33</v>
      </c>
      <c r="K374" s="42" t="s">
        <v>234</v>
      </c>
      <c r="L374" s="42" t="s">
        <v>233</v>
      </c>
      <c r="M374" s="49">
        <v>34</v>
      </c>
      <c r="N374" s="208">
        <v>314</v>
      </c>
      <c r="O374" s="49"/>
      <c r="P374" s="84"/>
      <c r="Q374" s="84"/>
      <c r="R374" s="84"/>
      <c r="S374" s="84"/>
      <c r="T374" s="84"/>
      <c r="U374" s="84"/>
      <c r="V374" s="84"/>
      <c r="W374" s="84"/>
      <c r="X374" s="84"/>
      <c r="Y374" s="84"/>
      <c r="Z374" s="84"/>
      <c r="AA374" s="84"/>
      <c r="AB374" s="84"/>
      <c r="AC374" s="84"/>
      <c r="AD374" s="84"/>
      <c r="AE374" s="84">
        <v>0.31</v>
      </c>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v>0.4</v>
      </c>
      <c r="BD374" s="84">
        <v>0.31</v>
      </c>
      <c r="BE374" s="84">
        <v>0.31</v>
      </c>
      <c r="BF374" s="84"/>
      <c r="BG374" s="84"/>
      <c r="BH374" s="84"/>
      <c r="BI374" s="84"/>
      <c r="BJ374" s="78">
        <f t="shared" si="49"/>
        <v>0</v>
      </c>
      <c r="BK374" s="97"/>
      <c r="BL374" s="44">
        <v>22</v>
      </c>
      <c r="BM374" s="79">
        <f t="shared" si="48"/>
        <v>0</v>
      </c>
      <c r="BN374" s="75"/>
      <c r="BO374" s="75"/>
    </row>
    <row r="375" spans="1:67" s="4" customFormat="1" ht="31.2" x14ac:dyDescent="0.3">
      <c r="A375" s="48">
        <v>74</v>
      </c>
      <c r="B375" s="160" t="s">
        <v>673</v>
      </c>
      <c r="C375" s="96" t="s">
        <v>41</v>
      </c>
      <c r="D375" s="108">
        <v>9.49</v>
      </c>
      <c r="E375" s="108"/>
      <c r="F375" s="108">
        <v>9.49</v>
      </c>
      <c r="G375" s="108">
        <v>1.2</v>
      </c>
      <c r="H375" s="108">
        <v>1.8</v>
      </c>
      <c r="I375" s="108"/>
      <c r="J375" s="108">
        <v>6.49</v>
      </c>
      <c r="K375" s="102"/>
      <c r="L375" s="102" t="s">
        <v>247</v>
      </c>
      <c r="M375" s="49" t="s">
        <v>672</v>
      </c>
      <c r="N375" s="208">
        <v>315</v>
      </c>
      <c r="O375" s="49"/>
      <c r="P375" s="84"/>
      <c r="Q375" s="84"/>
      <c r="R375" s="84"/>
      <c r="S375" s="84"/>
      <c r="T375" s="84"/>
      <c r="U375" s="84"/>
      <c r="V375" s="84"/>
      <c r="W375" s="84"/>
      <c r="X375" s="84"/>
      <c r="Y375" s="84"/>
      <c r="Z375" s="84">
        <v>0.5</v>
      </c>
      <c r="AA375" s="84">
        <v>1</v>
      </c>
      <c r="AB375" s="84"/>
      <c r="AC375" s="84"/>
      <c r="AD375" s="84"/>
      <c r="AE375" s="84">
        <v>0.5</v>
      </c>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v>1</v>
      </c>
      <c r="BE375" s="84">
        <v>3.49</v>
      </c>
      <c r="BF375" s="84"/>
      <c r="BG375" s="84"/>
      <c r="BH375" s="84"/>
      <c r="BI375" s="84"/>
      <c r="BJ375" s="78">
        <f t="shared" si="49"/>
        <v>0</v>
      </c>
      <c r="BK375" s="97"/>
      <c r="BL375" s="44">
        <v>22</v>
      </c>
      <c r="BM375" s="79">
        <f t="shared" si="48"/>
        <v>0</v>
      </c>
      <c r="BN375" s="75"/>
      <c r="BO375" s="75"/>
    </row>
    <row r="376" spans="1:67" s="4" customFormat="1" ht="31.2" x14ac:dyDescent="0.3">
      <c r="A376" s="48">
        <v>75</v>
      </c>
      <c r="B376" s="42" t="s">
        <v>1071</v>
      </c>
      <c r="C376" s="48" t="s">
        <v>41</v>
      </c>
      <c r="D376" s="39">
        <v>0.5</v>
      </c>
      <c r="E376" s="39"/>
      <c r="F376" s="39">
        <v>0.5</v>
      </c>
      <c r="G376" s="39"/>
      <c r="H376" s="39"/>
      <c r="I376" s="39"/>
      <c r="J376" s="39">
        <v>0.5</v>
      </c>
      <c r="K376" s="42" t="s">
        <v>247</v>
      </c>
      <c r="L376" s="42" t="s">
        <v>247</v>
      </c>
      <c r="M376" s="48">
        <v>24</v>
      </c>
      <c r="N376" s="206">
        <v>316</v>
      </c>
      <c r="O376" s="48"/>
      <c r="P376" s="84"/>
      <c r="Q376" s="84"/>
      <c r="R376" s="84"/>
      <c r="S376" s="84"/>
      <c r="T376" s="84"/>
      <c r="U376" s="84"/>
      <c r="V376" s="118"/>
      <c r="W376" s="84"/>
      <c r="X376" s="84">
        <v>0.5</v>
      </c>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78">
        <f t="shared" si="49"/>
        <v>0</v>
      </c>
      <c r="BK376" s="84"/>
      <c r="BL376" s="44">
        <v>22</v>
      </c>
      <c r="BM376" s="79">
        <f t="shared" si="48"/>
        <v>0</v>
      </c>
      <c r="BN376" s="75"/>
      <c r="BO376" s="75"/>
    </row>
    <row r="377" spans="1:67" s="4" customFormat="1" ht="36.75" customHeight="1" x14ac:dyDescent="0.3">
      <c r="A377" s="48">
        <v>76</v>
      </c>
      <c r="B377" s="42" t="s">
        <v>472</v>
      </c>
      <c r="C377" s="43" t="s">
        <v>41</v>
      </c>
      <c r="D377" s="39">
        <v>4.08</v>
      </c>
      <c r="E377" s="39"/>
      <c r="F377" s="39">
        <v>4.08</v>
      </c>
      <c r="G377" s="39">
        <v>0.76</v>
      </c>
      <c r="H377" s="39"/>
      <c r="I377" s="39"/>
      <c r="J377" s="39">
        <v>3.32</v>
      </c>
      <c r="K377" s="42" t="s">
        <v>255</v>
      </c>
      <c r="L377" s="42" t="s">
        <v>247</v>
      </c>
      <c r="M377" s="43">
        <v>34</v>
      </c>
      <c r="N377" s="210">
        <v>317</v>
      </c>
      <c r="O377" s="43"/>
      <c r="P377" s="84"/>
      <c r="Q377" s="84"/>
      <c r="R377" s="84"/>
      <c r="S377" s="84"/>
      <c r="T377" s="84"/>
      <c r="U377" s="84"/>
      <c r="V377" s="84"/>
      <c r="W377" s="84"/>
      <c r="X377" s="84">
        <v>2</v>
      </c>
      <c r="Y377" s="84"/>
      <c r="Z377" s="84"/>
      <c r="AA377" s="84"/>
      <c r="AB377" s="84"/>
      <c r="AC377" s="84"/>
      <c r="AD377" s="84"/>
      <c r="AE377" s="84">
        <v>0.5</v>
      </c>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v>0.82</v>
      </c>
      <c r="BF377" s="84"/>
      <c r="BG377" s="84"/>
      <c r="BH377" s="84"/>
      <c r="BI377" s="84"/>
      <c r="BJ377" s="78">
        <f t="shared" si="49"/>
        <v>0</v>
      </c>
      <c r="BK377" s="84"/>
      <c r="BL377" s="44">
        <v>22</v>
      </c>
      <c r="BM377" s="79">
        <f t="shared" si="48"/>
        <v>0</v>
      </c>
      <c r="BN377" s="75"/>
      <c r="BO377" s="75"/>
    </row>
    <row r="378" spans="1:67" s="4" customFormat="1" ht="31.2" x14ac:dyDescent="0.3">
      <c r="A378" s="48">
        <v>77</v>
      </c>
      <c r="B378" s="102" t="s">
        <v>697</v>
      </c>
      <c r="C378" s="96" t="s">
        <v>41</v>
      </c>
      <c r="D378" s="108">
        <v>1.5</v>
      </c>
      <c r="E378" s="108"/>
      <c r="F378" s="163">
        <v>1.5</v>
      </c>
      <c r="G378" s="163">
        <v>0.25</v>
      </c>
      <c r="H378" s="104"/>
      <c r="I378" s="104"/>
      <c r="J378" s="163">
        <v>1.25</v>
      </c>
      <c r="K378" s="94" t="s">
        <v>1037</v>
      </c>
      <c r="L378" s="42" t="s">
        <v>247</v>
      </c>
      <c r="M378" s="44" t="s">
        <v>672</v>
      </c>
      <c r="N378" s="209">
        <v>318</v>
      </c>
      <c r="O378" s="44"/>
      <c r="P378" s="90"/>
      <c r="Q378" s="90"/>
      <c r="R378" s="90"/>
      <c r="S378" s="90"/>
      <c r="T378" s="90"/>
      <c r="U378" s="90"/>
      <c r="V378" s="90"/>
      <c r="W378" s="90"/>
      <c r="X378" s="90"/>
      <c r="Y378" s="90"/>
      <c r="Z378" s="90">
        <v>0.5</v>
      </c>
      <c r="AA378" s="90">
        <v>0.2</v>
      </c>
      <c r="AB378" s="90"/>
      <c r="AC378" s="90"/>
      <c r="AD378" s="90"/>
      <c r="AE378" s="90"/>
      <c r="AF378" s="90"/>
      <c r="AG378" s="90"/>
      <c r="AH378" s="90"/>
      <c r="AI378" s="90"/>
      <c r="AJ378" s="90"/>
      <c r="AK378" s="90"/>
      <c r="AL378" s="90"/>
      <c r="AM378" s="90"/>
      <c r="AN378" s="90"/>
      <c r="AO378" s="90"/>
      <c r="AP378" s="90"/>
      <c r="AQ378" s="90"/>
      <c r="AR378" s="44"/>
      <c r="AS378" s="44"/>
      <c r="AT378" s="44"/>
      <c r="AU378" s="44"/>
      <c r="AV378" s="44"/>
      <c r="AW378" s="44"/>
      <c r="AX378" s="44"/>
      <c r="AY378" s="44"/>
      <c r="AZ378" s="44"/>
      <c r="BA378" s="44"/>
      <c r="BB378" s="44"/>
      <c r="BC378" s="44"/>
      <c r="BD378" s="44"/>
      <c r="BE378" s="44">
        <v>0.55000000000000004</v>
      </c>
      <c r="BF378" s="90"/>
      <c r="BG378" s="90"/>
      <c r="BH378" s="90"/>
      <c r="BI378" s="90"/>
      <c r="BJ378" s="78">
        <f t="shared" si="49"/>
        <v>0</v>
      </c>
      <c r="BK378" s="84"/>
      <c r="BL378" s="44">
        <v>22</v>
      </c>
      <c r="BM378" s="79">
        <f t="shared" si="48"/>
        <v>0</v>
      </c>
      <c r="BN378" s="75"/>
      <c r="BO378" s="75"/>
    </row>
    <row r="379" spans="1:67" s="57" customFormat="1" ht="31.2" x14ac:dyDescent="0.3">
      <c r="A379" s="219">
        <v>78</v>
      </c>
      <c r="B379" s="42" t="s">
        <v>256</v>
      </c>
      <c r="C379" s="43" t="s">
        <v>41</v>
      </c>
      <c r="D379" s="39">
        <v>4.4000000000000004</v>
      </c>
      <c r="E379" s="39"/>
      <c r="F379" s="39">
        <v>4.4000000000000004</v>
      </c>
      <c r="G379" s="39">
        <v>0.5</v>
      </c>
      <c r="H379" s="39"/>
      <c r="I379" s="39"/>
      <c r="J379" s="39">
        <v>3.9</v>
      </c>
      <c r="K379" s="42" t="s">
        <v>111</v>
      </c>
      <c r="L379" s="42" t="s">
        <v>662</v>
      </c>
      <c r="M379" s="43" t="s">
        <v>661</v>
      </c>
      <c r="N379" s="210">
        <v>319</v>
      </c>
      <c r="O379" s="43"/>
      <c r="P379" s="84"/>
      <c r="Q379" s="84"/>
      <c r="R379" s="84"/>
      <c r="S379" s="84"/>
      <c r="T379" s="84"/>
      <c r="U379" s="84"/>
      <c r="V379" s="84"/>
      <c r="W379" s="84"/>
      <c r="X379" s="84">
        <v>3.65</v>
      </c>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v>0.1</v>
      </c>
      <c r="BD379" s="84"/>
      <c r="BE379" s="84">
        <v>0.15</v>
      </c>
      <c r="BF379" s="84"/>
      <c r="BG379" s="84"/>
      <c r="BH379" s="84"/>
      <c r="BI379" s="84"/>
      <c r="BJ379" s="78">
        <f t="shared" si="49"/>
        <v>0</v>
      </c>
      <c r="BK379" s="84"/>
      <c r="BL379" s="44">
        <v>22</v>
      </c>
      <c r="BM379" s="79">
        <f t="shared" si="48"/>
        <v>0</v>
      </c>
      <c r="BN379" s="75"/>
      <c r="BO379" s="75"/>
    </row>
    <row r="380" spans="1:67" s="62" customFormat="1" ht="46.8" x14ac:dyDescent="0.3">
      <c r="A380" s="220"/>
      <c r="B380" s="42" t="s">
        <v>1272</v>
      </c>
      <c r="C380" s="43" t="s">
        <v>41</v>
      </c>
      <c r="D380" s="39">
        <v>2.2000000000000002</v>
      </c>
      <c r="E380" s="39"/>
      <c r="F380" s="39">
        <v>2.2000000000000002</v>
      </c>
      <c r="G380" s="39">
        <v>0.25</v>
      </c>
      <c r="H380" s="39"/>
      <c r="I380" s="39"/>
      <c r="J380" s="39">
        <f>F380-G380</f>
        <v>1.9500000000000002</v>
      </c>
      <c r="K380" s="42"/>
      <c r="L380" s="42" t="s">
        <v>247</v>
      </c>
      <c r="M380" s="43"/>
      <c r="N380" s="43"/>
      <c r="O380" s="43"/>
      <c r="P380" s="84"/>
      <c r="Q380" s="84"/>
      <c r="R380" s="84"/>
      <c r="S380" s="84"/>
      <c r="T380" s="84"/>
      <c r="U380" s="84"/>
      <c r="V380" s="84"/>
      <c r="W380" s="84"/>
      <c r="X380" s="84">
        <v>1.8</v>
      </c>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v>0.15</v>
      </c>
      <c r="BF380" s="84"/>
      <c r="BG380" s="84"/>
      <c r="BH380" s="84"/>
      <c r="BI380" s="84"/>
      <c r="BJ380" s="78">
        <f t="shared" si="49"/>
        <v>0</v>
      </c>
      <c r="BK380" s="84"/>
      <c r="BL380" s="44"/>
      <c r="BM380" s="79">
        <f t="shared" si="48"/>
        <v>0</v>
      </c>
      <c r="BN380" s="75"/>
      <c r="BO380" s="75"/>
    </row>
    <row r="381" spans="1:67" s="62" customFormat="1" ht="46.8" x14ac:dyDescent="0.3">
      <c r="A381" s="221"/>
      <c r="B381" s="42" t="s">
        <v>1273</v>
      </c>
      <c r="C381" s="43" t="s">
        <v>41</v>
      </c>
      <c r="D381" s="39">
        <v>2.2000000000000002</v>
      </c>
      <c r="E381" s="39"/>
      <c r="F381" s="39">
        <v>2.2000000000000002</v>
      </c>
      <c r="G381" s="39">
        <v>0.25</v>
      </c>
      <c r="H381" s="39"/>
      <c r="I381" s="39"/>
      <c r="J381" s="39">
        <v>1.95</v>
      </c>
      <c r="K381" s="42"/>
      <c r="L381" s="42" t="s">
        <v>285</v>
      </c>
      <c r="M381" s="43"/>
      <c r="N381" s="43"/>
      <c r="O381" s="43"/>
      <c r="P381" s="84"/>
      <c r="Q381" s="84"/>
      <c r="R381" s="84"/>
      <c r="S381" s="84"/>
      <c r="T381" s="84"/>
      <c r="U381" s="84"/>
      <c r="V381" s="84"/>
      <c r="W381" s="84"/>
      <c r="X381" s="84">
        <v>1.85</v>
      </c>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v>0.1</v>
      </c>
      <c r="BD381" s="84"/>
      <c r="BE381" s="84"/>
      <c r="BF381" s="84"/>
      <c r="BG381" s="84"/>
      <c r="BH381" s="84"/>
      <c r="BI381" s="84"/>
      <c r="BJ381" s="78">
        <f t="shared" si="49"/>
        <v>0</v>
      </c>
      <c r="BK381" s="84"/>
      <c r="BL381" s="44"/>
      <c r="BM381" s="79">
        <f t="shared" si="48"/>
        <v>0</v>
      </c>
      <c r="BN381" s="75"/>
      <c r="BO381" s="75"/>
    </row>
    <row r="382" spans="1:67" s="57" customFormat="1" ht="31.2" x14ac:dyDescent="0.3">
      <c r="A382" s="219">
        <v>79</v>
      </c>
      <c r="B382" s="102" t="s">
        <v>693</v>
      </c>
      <c r="C382" s="96" t="s">
        <v>41</v>
      </c>
      <c r="D382" s="108">
        <v>3.25</v>
      </c>
      <c r="E382" s="108">
        <v>1.75</v>
      </c>
      <c r="F382" s="108">
        <v>1.5</v>
      </c>
      <c r="G382" s="108">
        <v>1</v>
      </c>
      <c r="H382" s="108"/>
      <c r="I382" s="108"/>
      <c r="J382" s="108">
        <v>0.5</v>
      </c>
      <c r="K382" s="102"/>
      <c r="L382" s="102" t="s">
        <v>694</v>
      </c>
      <c r="M382" s="44" t="s">
        <v>672</v>
      </c>
      <c r="N382" s="209">
        <v>320</v>
      </c>
      <c r="O382" s="44"/>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44"/>
      <c r="AS382" s="44"/>
      <c r="AT382" s="44"/>
      <c r="AU382" s="44"/>
      <c r="AV382" s="44"/>
      <c r="AW382" s="44"/>
      <c r="AX382" s="44"/>
      <c r="AY382" s="44"/>
      <c r="AZ382" s="44"/>
      <c r="BA382" s="44"/>
      <c r="BB382" s="44"/>
      <c r="BC382" s="44">
        <v>0.25</v>
      </c>
      <c r="BD382" s="44"/>
      <c r="BE382" s="44">
        <v>0.25</v>
      </c>
      <c r="BF382" s="90"/>
      <c r="BG382" s="90"/>
      <c r="BH382" s="90"/>
      <c r="BI382" s="90"/>
      <c r="BJ382" s="78">
        <f t="shared" si="49"/>
        <v>0</v>
      </c>
      <c r="BK382" s="84"/>
      <c r="BL382" s="44">
        <v>22</v>
      </c>
      <c r="BM382" s="79">
        <f t="shared" si="48"/>
        <v>0</v>
      </c>
      <c r="BN382" s="75"/>
      <c r="BO382" s="75"/>
    </row>
    <row r="383" spans="1:67" s="62" customFormat="1" ht="31.2" x14ac:dyDescent="0.3">
      <c r="A383" s="220"/>
      <c r="B383" s="102" t="s">
        <v>1274</v>
      </c>
      <c r="C383" s="96" t="s">
        <v>41</v>
      </c>
      <c r="D383" s="108">
        <v>1.63</v>
      </c>
      <c r="E383" s="108">
        <v>0.88</v>
      </c>
      <c r="F383" s="108">
        <v>0.75</v>
      </c>
      <c r="G383" s="108">
        <v>0.5</v>
      </c>
      <c r="H383" s="108"/>
      <c r="I383" s="108"/>
      <c r="J383" s="108">
        <v>0.25</v>
      </c>
      <c r="K383" s="102"/>
      <c r="L383" s="102" t="s">
        <v>261</v>
      </c>
      <c r="M383" s="44"/>
      <c r="N383" s="44"/>
      <c r="O383" s="44"/>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44"/>
      <c r="AS383" s="44"/>
      <c r="AT383" s="44"/>
      <c r="AU383" s="44"/>
      <c r="AV383" s="44"/>
      <c r="AW383" s="44"/>
      <c r="AX383" s="44"/>
      <c r="AY383" s="44"/>
      <c r="AZ383" s="44"/>
      <c r="BA383" s="44"/>
      <c r="BB383" s="44"/>
      <c r="BC383" s="44"/>
      <c r="BD383" s="44"/>
      <c r="BE383" s="44">
        <v>0.25</v>
      </c>
      <c r="BF383" s="90"/>
      <c r="BG383" s="90"/>
      <c r="BH383" s="90"/>
      <c r="BI383" s="90"/>
      <c r="BJ383" s="78">
        <f t="shared" si="49"/>
        <v>0</v>
      </c>
      <c r="BK383" s="84"/>
      <c r="BL383" s="44"/>
      <c r="BM383" s="79">
        <f t="shared" si="48"/>
        <v>0</v>
      </c>
      <c r="BN383" s="75"/>
      <c r="BO383" s="75"/>
    </row>
    <row r="384" spans="1:67" s="62" customFormat="1" ht="31.2" x14ac:dyDescent="0.3">
      <c r="A384" s="221"/>
      <c r="B384" s="102" t="s">
        <v>1275</v>
      </c>
      <c r="C384" s="96" t="s">
        <v>41</v>
      </c>
      <c r="D384" s="108">
        <f>D382-D383</f>
        <v>1.62</v>
      </c>
      <c r="E384" s="108">
        <v>0.87</v>
      </c>
      <c r="F384" s="108">
        <v>0.75</v>
      </c>
      <c r="G384" s="108">
        <v>0.5</v>
      </c>
      <c r="H384" s="108"/>
      <c r="I384" s="108"/>
      <c r="J384" s="108">
        <v>0.25</v>
      </c>
      <c r="K384" s="102"/>
      <c r="L384" s="102" t="s">
        <v>285</v>
      </c>
      <c r="M384" s="44"/>
      <c r="N384" s="44"/>
      <c r="O384" s="44"/>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44"/>
      <c r="AS384" s="44"/>
      <c r="AT384" s="44"/>
      <c r="AU384" s="44"/>
      <c r="AV384" s="44"/>
      <c r="AW384" s="44"/>
      <c r="AX384" s="44"/>
      <c r="AY384" s="44"/>
      <c r="AZ384" s="44"/>
      <c r="BA384" s="44"/>
      <c r="BB384" s="44"/>
      <c r="BC384" s="44">
        <v>0.25</v>
      </c>
      <c r="BD384" s="44"/>
      <c r="BE384" s="44"/>
      <c r="BF384" s="90"/>
      <c r="BG384" s="90"/>
      <c r="BH384" s="90"/>
      <c r="BI384" s="90"/>
      <c r="BJ384" s="78"/>
      <c r="BK384" s="84"/>
      <c r="BL384" s="44"/>
      <c r="BM384" s="79">
        <f t="shared" si="48"/>
        <v>0</v>
      </c>
      <c r="BN384" s="75"/>
      <c r="BO384" s="75"/>
    </row>
    <row r="385" spans="1:67" s="4" customFormat="1" ht="31.2" x14ac:dyDescent="0.3">
      <c r="A385" s="48">
        <v>80</v>
      </c>
      <c r="B385" s="42" t="s">
        <v>262</v>
      </c>
      <c r="C385" s="48" t="s">
        <v>41</v>
      </c>
      <c r="D385" s="41">
        <v>17.68</v>
      </c>
      <c r="E385" s="41"/>
      <c r="F385" s="41">
        <v>17.68</v>
      </c>
      <c r="G385" s="136">
        <v>8.8000000000000007</v>
      </c>
      <c r="H385" s="39"/>
      <c r="I385" s="39"/>
      <c r="J385" s="39">
        <v>8.8800000000000008</v>
      </c>
      <c r="K385" s="164" t="s">
        <v>1038</v>
      </c>
      <c r="L385" s="42" t="s">
        <v>261</v>
      </c>
      <c r="M385" s="48">
        <v>8</v>
      </c>
      <c r="N385" s="206">
        <v>321</v>
      </c>
      <c r="O385" s="48"/>
      <c r="P385" s="84"/>
      <c r="Q385" s="84"/>
      <c r="R385" s="84"/>
      <c r="S385" s="84"/>
      <c r="T385" s="84"/>
      <c r="U385" s="84"/>
      <c r="V385" s="84"/>
      <c r="W385" s="84"/>
      <c r="X385" s="84"/>
      <c r="Y385" s="84"/>
      <c r="Z385" s="84">
        <v>4</v>
      </c>
      <c r="AA385" s="84"/>
      <c r="AB385" s="84"/>
      <c r="AC385" s="84"/>
      <c r="AD385" s="84"/>
      <c r="AE385" s="84">
        <v>4</v>
      </c>
      <c r="AF385" s="84"/>
      <c r="AG385" s="118"/>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v>0.88</v>
      </c>
      <c r="BF385" s="84"/>
      <c r="BG385" s="84"/>
      <c r="BH385" s="84"/>
      <c r="BI385" s="84"/>
      <c r="BJ385" s="78">
        <f t="shared" si="49"/>
        <v>0</v>
      </c>
      <c r="BK385" s="84"/>
      <c r="BL385" s="44">
        <v>22</v>
      </c>
      <c r="BM385" s="79">
        <f t="shared" si="48"/>
        <v>0</v>
      </c>
      <c r="BN385" s="75"/>
      <c r="BO385" s="75"/>
    </row>
    <row r="386" spans="1:67" s="4" customFormat="1" ht="31.2" x14ac:dyDescent="0.3">
      <c r="A386" s="48">
        <v>81</v>
      </c>
      <c r="B386" s="42" t="s">
        <v>264</v>
      </c>
      <c r="C386" s="48" t="s">
        <v>41</v>
      </c>
      <c r="D386" s="41">
        <v>0.02</v>
      </c>
      <c r="E386" s="41"/>
      <c r="F386" s="41">
        <v>0.02</v>
      </c>
      <c r="G386" s="39"/>
      <c r="H386" s="39"/>
      <c r="I386" s="39"/>
      <c r="J386" s="39">
        <v>0.02</v>
      </c>
      <c r="K386" s="42" t="s">
        <v>1006</v>
      </c>
      <c r="L386" s="42" t="s">
        <v>261</v>
      </c>
      <c r="M386" s="48">
        <v>10</v>
      </c>
      <c r="N386" s="206">
        <v>322</v>
      </c>
      <c r="O386" s="48"/>
      <c r="P386" s="84"/>
      <c r="Q386" s="84"/>
      <c r="R386" s="84"/>
      <c r="S386" s="84"/>
      <c r="T386" s="84"/>
      <c r="U386" s="84"/>
      <c r="V386" s="84"/>
      <c r="W386" s="84"/>
      <c r="X386" s="84"/>
      <c r="Y386" s="84"/>
      <c r="Z386" s="84"/>
      <c r="AA386" s="84"/>
      <c r="AB386" s="84"/>
      <c r="AC386" s="84"/>
      <c r="AD386" s="84"/>
      <c r="AE386" s="84">
        <v>0.02</v>
      </c>
      <c r="AF386" s="84"/>
      <c r="AG386" s="118"/>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78">
        <f t="shared" si="49"/>
        <v>0</v>
      </c>
      <c r="BK386" s="84"/>
      <c r="BL386" s="44">
        <v>22</v>
      </c>
      <c r="BM386" s="79">
        <f t="shared" si="48"/>
        <v>0</v>
      </c>
      <c r="BN386" s="75"/>
      <c r="BO386" s="75"/>
    </row>
    <row r="387" spans="1:67" s="4" customFormat="1" ht="31.2" x14ac:dyDescent="0.3">
      <c r="A387" s="48">
        <v>82</v>
      </c>
      <c r="B387" s="157" t="s">
        <v>271</v>
      </c>
      <c r="C387" s="48" t="s">
        <v>41</v>
      </c>
      <c r="D387" s="39">
        <v>1.5</v>
      </c>
      <c r="E387" s="39">
        <v>0.7</v>
      </c>
      <c r="F387" s="39">
        <v>0.8</v>
      </c>
      <c r="G387" s="39">
        <v>0.8</v>
      </c>
      <c r="H387" s="39"/>
      <c r="I387" s="39"/>
      <c r="J387" s="39"/>
      <c r="K387" s="42" t="s">
        <v>428</v>
      </c>
      <c r="L387" s="42" t="s">
        <v>261</v>
      </c>
      <c r="M387" s="48">
        <v>22</v>
      </c>
      <c r="N387" s="206">
        <v>323</v>
      </c>
      <c r="O387" s="48"/>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118"/>
      <c r="BF387" s="84"/>
      <c r="BG387" s="84"/>
      <c r="BH387" s="84"/>
      <c r="BI387" s="84"/>
      <c r="BJ387" s="78">
        <f t="shared" si="49"/>
        <v>0</v>
      </c>
      <c r="BK387" s="84"/>
      <c r="BL387" s="44">
        <v>22</v>
      </c>
      <c r="BM387" s="79">
        <f t="shared" si="48"/>
        <v>0</v>
      </c>
      <c r="BN387" s="75"/>
      <c r="BO387" s="75"/>
    </row>
    <row r="388" spans="1:67" s="4" customFormat="1" x14ac:dyDescent="0.3">
      <c r="A388" s="48">
        <v>83</v>
      </c>
      <c r="B388" s="42" t="s">
        <v>277</v>
      </c>
      <c r="C388" s="48" t="s">
        <v>41</v>
      </c>
      <c r="D388" s="39">
        <v>0.89</v>
      </c>
      <c r="E388" s="39">
        <v>0.54</v>
      </c>
      <c r="F388" s="39">
        <f>D388-E388</f>
        <v>0.35</v>
      </c>
      <c r="G388" s="39">
        <v>0.15</v>
      </c>
      <c r="H388" s="39"/>
      <c r="I388" s="39"/>
      <c r="J388" s="39">
        <v>0.2</v>
      </c>
      <c r="K388" s="42" t="s">
        <v>1006</v>
      </c>
      <c r="L388" s="42" t="s">
        <v>261</v>
      </c>
      <c r="M388" s="48">
        <v>31</v>
      </c>
      <c r="N388" s="206">
        <v>324</v>
      </c>
      <c r="O388" s="48"/>
      <c r="P388" s="84"/>
      <c r="Q388" s="84"/>
      <c r="R388" s="84"/>
      <c r="S388" s="84"/>
      <c r="T388" s="84"/>
      <c r="U388" s="84"/>
      <c r="V388" s="84"/>
      <c r="W388" s="84"/>
      <c r="X388" s="84"/>
      <c r="Y388" s="84"/>
      <c r="Z388" s="84">
        <v>0.2</v>
      </c>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78">
        <f t="shared" si="49"/>
        <v>0</v>
      </c>
      <c r="BK388" s="84"/>
      <c r="BL388" s="44">
        <v>22</v>
      </c>
      <c r="BM388" s="79">
        <f t="shared" si="48"/>
        <v>0</v>
      </c>
      <c r="BN388" s="75"/>
      <c r="BO388" s="75"/>
    </row>
    <row r="389" spans="1:67" s="4" customFormat="1" ht="31.2" x14ac:dyDescent="0.3">
      <c r="A389" s="48">
        <v>84</v>
      </c>
      <c r="B389" s="94" t="s">
        <v>278</v>
      </c>
      <c r="C389" s="48" t="s">
        <v>41</v>
      </c>
      <c r="D389" s="39">
        <v>1.9</v>
      </c>
      <c r="E389" s="39">
        <v>1.49</v>
      </c>
      <c r="F389" s="39">
        <v>0.41</v>
      </c>
      <c r="G389" s="39">
        <v>0.41</v>
      </c>
      <c r="H389" s="39"/>
      <c r="I389" s="39"/>
      <c r="J389" s="39"/>
      <c r="K389" s="157" t="s">
        <v>1039</v>
      </c>
      <c r="L389" s="42" t="s">
        <v>261</v>
      </c>
      <c r="M389" s="48">
        <v>32</v>
      </c>
      <c r="N389" s="206">
        <v>325</v>
      </c>
      <c r="O389" s="48"/>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78">
        <f t="shared" si="49"/>
        <v>0</v>
      </c>
      <c r="BK389" s="84"/>
      <c r="BL389" s="44">
        <v>22</v>
      </c>
      <c r="BM389" s="79">
        <f t="shared" si="48"/>
        <v>0</v>
      </c>
      <c r="BN389" s="75"/>
      <c r="BO389" s="75"/>
    </row>
    <row r="390" spans="1:67" s="4" customFormat="1" ht="46.8" x14ac:dyDescent="0.3">
      <c r="A390" s="48">
        <v>85</v>
      </c>
      <c r="B390" s="165" t="s">
        <v>1078</v>
      </c>
      <c r="C390" s="133" t="s">
        <v>41</v>
      </c>
      <c r="D390" s="166">
        <v>0.7</v>
      </c>
      <c r="E390" s="133">
        <v>0.47</v>
      </c>
      <c r="F390" s="48">
        <v>0.23</v>
      </c>
      <c r="G390" s="166">
        <v>0.18</v>
      </c>
      <c r="H390" s="134"/>
      <c r="I390" s="134"/>
      <c r="J390" s="134">
        <v>0.05</v>
      </c>
      <c r="K390" s="53" t="s">
        <v>1079</v>
      </c>
      <c r="L390" s="54" t="s">
        <v>261</v>
      </c>
      <c r="M390" s="48">
        <v>35</v>
      </c>
      <c r="N390" s="206">
        <v>326</v>
      </c>
      <c r="O390" s="48"/>
      <c r="P390" s="84"/>
      <c r="Q390" s="84"/>
      <c r="R390" s="84"/>
      <c r="S390" s="84"/>
      <c r="T390" s="84"/>
      <c r="U390" s="84"/>
      <c r="V390" s="84"/>
      <c r="W390" s="84"/>
      <c r="X390" s="84"/>
      <c r="Y390" s="84"/>
      <c r="Z390" s="84"/>
      <c r="AA390" s="84"/>
      <c r="AB390" s="84"/>
      <c r="AC390" s="84"/>
      <c r="AD390" s="84"/>
      <c r="AE390" s="84">
        <v>0.05</v>
      </c>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78"/>
      <c r="BK390" s="84"/>
      <c r="BL390" s="44"/>
      <c r="BM390" s="79">
        <f t="shared" si="48"/>
        <v>0</v>
      </c>
      <c r="BN390" s="75"/>
      <c r="BO390" s="75"/>
    </row>
    <row r="391" spans="1:67" s="4" customFormat="1" ht="46.8" x14ac:dyDescent="0.3">
      <c r="A391" s="48">
        <v>86</v>
      </c>
      <c r="B391" s="165" t="s">
        <v>1080</v>
      </c>
      <c r="C391" s="133" t="s">
        <v>41</v>
      </c>
      <c r="D391" s="166">
        <v>2.2200000000000002</v>
      </c>
      <c r="E391" s="133">
        <v>1.33</v>
      </c>
      <c r="F391" s="167">
        <v>0.89</v>
      </c>
      <c r="G391" s="166">
        <v>0.3</v>
      </c>
      <c r="H391" s="134"/>
      <c r="I391" s="134"/>
      <c r="J391" s="134">
        <v>0.59</v>
      </c>
      <c r="K391" s="53" t="s">
        <v>1081</v>
      </c>
      <c r="L391" s="54" t="s">
        <v>261</v>
      </c>
      <c r="M391" s="48">
        <v>36</v>
      </c>
      <c r="N391" s="206">
        <v>327</v>
      </c>
      <c r="O391" s="48"/>
      <c r="P391" s="84"/>
      <c r="Q391" s="84"/>
      <c r="R391" s="84"/>
      <c r="S391" s="84"/>
      <c r="T391" s="84"/>
      <c r="U391" s="84"/>
      <c r="V391" s="84"/>
      <c r="W391" s="84"/>
      <c r="X391" s="84"/>
      <c r="Y391" s="84"/>
      <c r="Z391" s="84"/>
      <c r="AA391" s="84"/>
      <c r="AB391" s="84"/>
      <c r="AC391" s="84"/>
      <c r="AD391" s="84"/>
      <c r="AE391" s="84">
        <v>0.5</v>
      </c>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v>0.09</v>
      </c>
      <c r="BF391" s="84"/>
      <c r="BG391" s="84"/>
      <c r="BH391" s="84"/>
      <c r="BI391" s="84"/>
      <c r="BJ391" s="78"/>
      <c r="BK391" s="84"/>
      <c r="BL391" s="44"/>
      <c r="BM391" s="79">
        <f t="shared" si="48"/>
        <v>0</v>
      </c>
      <c r="BN391" s="75"/>
      <c r="BO391" s="75"/>
    </row>
    <row r="392" spans="1:67" s="4" customFormat="1" ht="31.2" x14ac:dyDescent="0.3">
      <c r="A392" s="48">
        <v>87</v>
      </c>
      <c r="B392" s="42" t="s">
        <v>279</v>
      </c>
      <c r="C392" s="48" t="s">
        <v>41</v>
      </c>
      <c r="D392" s="39">
        <v>1.6</v>
      </c>
      <c r="E392" s="39">
        <v>0.98</v>
      </c>
      <c r="F392" s="39">
        <v>0.62</v>
      </c>
      <c r="G392" s="39">
        <v>0.62</v>
      </c>
      <c r="H392" s="39"/>
      <c r="I392" s="39"/>
      <c r="J392" s="39"/>
      <c r="K392" s="42" t="s">
        <v>1005</v>
      </c>
      <c r="L392" s="42" t="s">
        <v>261</v>
      </c>
      <c r="M392" s="48">
        <v>33</v>
      </c>
      <c r="N392" s="206">
        <v>328</v>
      </c>
      <c r="O392" s="48"/>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78">
        <f t="shared" si="49"/>
        <v>0</v>
      </c>
      <c r="BK392" s="84"/>
      <c r="BL392" s="44">
        <v>22</v>
      </c>
      <c r="BM392" s="79">
        <f t="shared" si="48"/>
        <v>0</v>
      </c>
      <c r="BN392" s="75"/>
      <c r="BO392" s="75"/>
    </row>
    <row r="393" spans="1:67" s="4" customFormat="1" ht="31.2" x14ac:dyDescent="0.3">
      <c r="A393" s="48">
        <v>88</v>
      </c>
      <c r="B393" s="102" t="s">
        <v>695</v>
      </c>
      <c r="C393" s="96" t="s">
        <v>41</v>
      </c>
      <c r="D393" s="108">
        <v>0.5</v>
      </c>
      <c r="E393" s="108"/>
      <c r="F393" s="108">
        <v>0.5</v>
      </c>
      <c r="G393" s="108">
        <v>0.5</v>
      </c>
      <c r="H393" s="108"/>
      <c r="I393" s="108"/>
      <c r="J393" s="108"/>
      <c r="K393" s="102" t="s">
        <v>285</v>
      </c>
      <c r="L393" s="42" t="s">
        <v>261</v>
      </c>
      <c r="M393" s="48" t="s">
        <v>672</v>
      </c>
      <c r="N393" s="206">
        <v>329</v>
      </c>
      <c r="O393" s="48"/>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78">
        <f t="shared" si="49"/>
        <v>0</v>
      </c>
      <c r="BK393" s="84"/>
      <c r="BL393" s="44">
        <v>22</v>
      </c>
      <c r="BM393" s="79">
        <f t="shared" si="48"/>
        <v>0</v>
      </c>
      <c r="BN393" s="75"/>
      <c r="BO393" s="75"/>
    </row>
    <row r="394" spans="1:67" s="62" customFormat="1" ht="31.2" x14ac:dyDescent="0.3">
      <c r="A394" s="48">
        <v>89</v>
      </c>
      <c r="B394" s="42" t="s">
        <v>287</v>
      </c>
      <c r="C394" s="43" t="s">
        <v>41</v>
      </c>
      <c r="D394" s="41">
        <v>3.54</v>
      </c>
      <c r="E394" s="41"/>
      <c r="F394" s="41">
        <v>3.54</v>
      </c>
      <c r="G394" s="39">
        <v>1.82</v>
      </c>
      <c r="H394" s="39"/>
      <c r="I394" s="39"/>
      <c r="J394" s="39">
        <v>1.7200000000000002</v>
      </c>
      <c r="K394" s="42" t="s">
        <v>995</v>
      </c>
      <c r="L394" s="42" t="s">
        <v>285</v>
      </c>
      <c r="M394" s="48">
        <v>20</v>
      </c>
      <c r="N394" s="206">
        <v>330</v>
      </c>
      <c r="O394" s="48"/>
      <c r="P394" s="84"/>
      <c r="Q394" s="84"/>
      <c r="R394" s="84"/>
      <c r="S394" s="84"/>
      <c r="T394" s="84"/>
      <c r="U394" s="84"/>
      <c r="V394" s="84"/>
      <c r="W394" s="84"/>
      <c r="X394" s="84"/>
      <c r="Y394" s="84"/>
      <c r="Z394" s="84"/>
      <c r="AA394" s="84"/>
      <c r="AB394" s="84"/>
      <c r="AC394" s="84"/>
      <c r="AD394" s="84"/>
      <c r="AE394" s="84"/>
      <c r="AF394" s="84"/>
      <c r="AG394" s="118"/>
      <c r="AH394" s="84"/>
      <c r="AI394" s="84"/>
      <c r="AJ394" s="84"/>
      <c r="AK394" s="84"/>
      <c r="AL394" s="84"/>
      <c r="AM394" s="84"/>
      <c r="AN394" s="84"/>
      <c r="AO394" s="84"/>
      <c r="AP394" s="84"/>
      <c r="AQ394" s="84"/>
      <c r="AR394" s="84">
        <v>1.72</v>
      </c>
      <c r="AS394" s="84"/>
      <c r="AT394" s="84"/>
      <c r="AU394" s="84"/>
      <c r="AV394" s="84"/>
      <c r="AW394" s="84"/>
      <c r="AX394" s="84"/>
      <c r="AY394" s="84"/>
      <c r="AZ394" s="84"/>
      <c r="BA394" s="84"/>
      <c r="BB394" s="84"/>
      <c r="BC394" s="84"/>
      <c r="BD394" s="84"/>
      <c r="BE394" s="84"/>
      <c r="BF394" s="84"/>
      <c r="BG394" s="84"/>
      <c r="BH394" s="84"/>
      <c r="BI394" s="84"/>
      <c r="BJ394" s="78">
        <f t="shared" si="49"/>
        <v>0</v>
      </c>
      <c r="BK394" s="84"/>
      <c r="BL394" s="44">
        <v>22</v>
      </c>
      <c r="BM394" s="79">
        <f t="shared" si="48"/>
        <v>0</v>
      </c>
      <c r="BN394" s="75"/>
      <c r="BO394" s="75"/>
    </row>
    <row r="395" spans="1:67" s="62" customFormat="1" ht="31.2" x14ac:dyDescent="0.3">
      <c r="A395" s="48">
        <v>90</v>
      </c>
      <c r="B395" s="42" t="s">
        <v>290</v>
      </c>
      <c r="C395" s="48" t="s">
        <v>41</v>
      </c>
      <c r="D395" s="39">
        <v>0.36</v>
      </c>
      <c r="E395" s="39"/>
      <c r="F395" s="39">
        <v>0.36</v>
      </c>
      <c r="G395" s="39">
        <v>0.36</v>
      </c>
      <c r="H395" s="39"/>
      <c r="I395" s="39"/>
      <c r="J395" s="39"/>
      <c r="K395" s="42" t="s">
        <v>285</v>
      </c>
      <c r="L395" s="42" t="s">
        <v>285</v>
      </c>
      <c r="M395" s="48">
        <v>13</v>
      </c>
      <c r="N395" s="206">
        <v>331</v>
      </c>
      <c r="O395" s="48"/>
      <c r="P395" s="84"/>
      <c r="Q395" s="84"/>
      <c r="R395" s="84"/>
      <c r="S395" s="84"/>
      <c r="T395" s="84"/>
      <c r="U395" s="84"/>
      <c r="V395" s="84"/>
      <c r="W395" s="84"/>
      <c r="X395" s="84"/>
      <c r="Y395" s="84"/>
      <c r="Z395" s="118"/>
      <c r="AA395" s="84"/>
      <c r="AB395" s="84"/>
      <c r="AC395" s="84"/>
      <c r="AD395" s="84"/>
      <c r="AE395" s="84"/>
      <c r="AF395" s="84"/>
      <c r="AG395" s="84"/>
      <c r="AH395" s="84"/>
      <c r="AI395" s="84"/>
      <c r="AJ395" s="84"/>
      <c r="AK395" s="84"/>
      <c r="AL395" s="84"/>
      <c r="AM395" s="118"/>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78">
        <f t="shared" si="49"/>
        <v>0</v>
      </c>
      <c r="BK395" s="84"/>
      <c r="BL395" s="44">
        <v>22</v>
      </c>
      <c r="BM395" s="79">
        <f t="shared" si="48"/>
        <v>0</v>
      </c>
      <c r="BN395" s="75"/>
      <c r="BO395" s="75"/>
    </row>
    <row r="396" spans="1:67" s="4" customFormat="1" ht="31.2" x14ac:dyDescent="0.3">
      <c r="A396" s="48">
        <v>91</v>
      </c>
      <c r="B396" s="42" t="s">
        <v>291</v>
      </c>
      <c r="C396" s="48" t="s">
        <v>41</v>
      </c>
      <c r="D396" s="39">
        <v>3</v>
      </c>
      <c r="E396" s="39">
        <v>1.5</v>
      </c>
      <c r="F396" s="39">
        <v>1.5</v>
      </c>
      <c r="G396" s="39">
        <v>0.5</v>
      </c>
      <c r="H396" s="39"/>
      <c r="I396" s="39"/>
      <c r="J396" s="39">
        <v>1</v>
      </c>
      <c r="K396" s="42" t="s">
        <v>285</v>
      </c>
      <c r="L396" s="42" t="s">
        <v>285</v>
      </c>
      <c r="M396" s="44">
        <v>28</v>
      </c>
      <c r="N396" s="209">
        <v>332</v>
      </c>
      <c r="O396" s="4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v>1</v>
      </c>
      <c r="BF396" s="84"/>
      <c r="BG396" s="84"/>
      <c r="BH396" s="84"/>
      <c r="BI396" s="84"/>
      <c r="BJ396" s="78">
        <f t="shared" si="49"/>
        <v>0</v>
      </c>
      <c r="BK396" s="84"/>
      <c r="BL396" s="44">
        <v>22</v>
      </c>
      <c r="BM396" s="79">
        <f t="shared" si="48"/>
        <v>0</v>
      </c>
      <c r="BN396" s="75"/>
      <c r="BO396" s="75"/>
    </row>
    <row r="397" spans="1:67" s="4" customFormat="1" ht="40.5" customHeight="1" x14ac:dyDescent="0.3">
      <c r="A397" s="48">
        <v>92</v>
      </c>
      <c r="B397" s="42" t="s">
        <v>246</v>
      </c>
      <c r="C397" s="48" t="s">
        <v>41</v>
      </c>
      <c r="D397" s="39">
        <v>1.91</v>
      </c>
      <c r="E397" s="39"/>
      <c r="F397" s="39">
        <v>1.91</v>
      </c>
      <c r="G397" s="39">
        <v>1.91</v>
      </c>
      <c r="H397" s="39"/>
      <c r="I397" s="39"/>
      <c r="J397" s="39"/>
      <c r="K397" s="42" t="s">
        <v>996</v>
      </c>
      <c r="L397" s="42" t="s">
        <v>285</v>
      </c>
      <c r="M397" s="44">
        <v>29</v>
      </c>
      <c r="N397" s="209">
        <v>333</v>
      </c>
      <c r="O397" s="4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78">
        <f t="shared" si="49"/>
        <v>0</v>
      </c>
      <c r="BK397" s="84"/>
      <c r="BL397" s="44">
        <v>22</v>
      </c>
      <c r="BM397" s="79">
        <f t="shared" si="48"/>
        <v>0</v>
      </c>
      <c r="BN397" s="75"/>
      <c r="BO397" s="75"/>
    </row>
    <row r="398" spans="1:67" s="4" customFormat="1" ht="30.75" customHeight="1" x14ac:dyDescent="0.3">
      <c r="A398" s="48">
        <v>93</v>
      </c>
      <c r="B398" s="42" t="s">
        <v>246</v>
      </c>
      <c r="C398" s="48" t="s">
        <v>41</v>
      </c>
      <c r="D398" s="39">
        <v>1.76</v>
      </c>
      <c r="E398" s="39"/>
      <c r="F398" s="39">
        <v>1.76</v>
      </c>
      <c r="G398" s="39">
        <v>1.76</v>
      </c>
      <c r="H398" s="39"/>
      <c r="I398" s="39"/>
      <c r="J398" s="39"/>
      <c r="K398" s="42" t="s">
        <v>285</v>
      </c>
      <c r="L398" s="42" t="s">
        <v>285</v>
      </c>
      <c r="M398" s="44">
        <v>30</v>
      </c>
      <c r="N398" s="209">
        <v>334</v>
      </c>
      <c r="O398" s="4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78">
        <f t="shared" si="49"/>
        <v>0</v>
      </c>
      <c r="BK398" s="84"/>
      <c r="BL398" s="44">
        <v>22</v>
      </c>
      <c r="BM398" s="79">
        <f t="shared" si="48"/>
        <v>0</v>
      </c>
      <c r="BN398" s="75"/>
      <c r="BO398" s="75"/>
    </row>
    <row r="399" spans="1:67" s="4" customFormat="1" ht="31.2" x14ac:dyDescent="0.3">
      <c r="A399" s="48">
        <v>94</v>
      </c>
      <c r="B399" s="42" t="s">
        <v>348</v>
      </c>
      <c r="C399" s="48" t="s">
        <v>41</v>
      </c>
      <c r="D399" s="39">
        <v>5.0999999999999996</v>
      </c>
      <c r="E399" s="39"/>
      <c r="F399" s="39">
        <v>5.0999999999999996</v>
      </c>
      <c r="G399" s="39"/>
      <c r="H399" s="39"/>
      <c r="I399" s="39"/>
      <c r="J399" s="39">
        <f>SUM(X399:BG399)</f>
        <v>5.0999999999999996</v>
      </c>
      <c r="K399" s="92"/>
      <c r="L399" s="42" t="s">
        <v>347</v>
      </c>
      <c r="M399" s="44">
        <v>19</v>
      </c>
      <c r="N399" s="209">
        <v>335</v>
      </c>
      <c r="O399" s="44"/>
      <c r="P399" s="84"/>
      <c r="Q399" s="84"/>
      <c r="R399" s="84"/>
      <c r="S399" s="84"/>
      <c r="T399" s="84"/>
      <c r="U399" s="84"/>
      <c r="V399" s="84"/>
      <c r="W399" s="84"/>
      <c r="X399" s="84">
        <v>1.1000000000000001</v>
      </c>
      <c r="Y399" s="84"/>
      <c r="Z399" s="84"/>
      <c r="AA399" s="84"/>
      <c r="AB399" s="84">
        <v>1</v>
      </c>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v>3</v>
      </c>
      <c r="BF399" s="84"/>
      <c r="BG399" s="84"/>
      <c r="BH399" s="79">
        <f>J399-SUM(V399:BG399)</f>
        <v>0</v>
      </c>
      <c r="BI399" s="79"/>
      <c r="BJ399" s="78">
        <f t="shared" ref="BJ399:BJ438" si="50">D399-E399-F399</f>
        <v>0</v>
      </c>
      <c r="BK399" s="48"/>
      <c r="BL399" s="44">
        <v>22</v>
      </c>
      <c r="BM399" s="79">
        <f t="shared" si="48"/>
        <v>0</v>
      </c>
      <c r="BN399" s="75"/>
      <c r="BO399" s="75"/>
    </row>
    <row r="400" spans="1:67" s="62" customFormat="1" ht="63" customHeight="1" x14ac:dyDescent="0.3">
      <c r="A400" s="48">
        <v>95</v>
      </c>
      <c r="B400" s="168" t="s">
        <v>1313</v>
      </c>
      <c r="C400" s="165" t="s">
        <v>41</v>
      </c>
      <c r="D400" s="169">
        <v>4</v>
      </c>
      <c r="E400" s="39">
        <v>2.4</v>
      </c>
      <c r="F400" s="39">
        <v>1.6</v>
      </c>
      <c r="G400" s="39">
        <v>0.8</v>
      </c>
      <c r="H400" s="39"/>
      <c r="I400" s="39"/>
      <c r="J400" s="39">
        <v>0.8</v>
      </c>
      <c r="K400" s="92"/>
      <c r="L400" s="165" t="s">
        <v>1314</v>
      </c>
      <c r="M400" s="44"/>
      <c r="N400" s="209">
        <v>805</v>
      </c>
      <c r="O400" s="44"/>
      <c r="P400" s="84"/>
      <c r="Q400" s="84"/>
      <c r="R400" s="84"/>
      <c r="S400" s="84"/>
      <c r="T400" s="84"/>
      <c r="U400" s="84"/>
      <c r="V400" s="84"/>
      <c r="W400" s="84"/>
      <c r="X400" s="84"/>
      <c r="Y400" s="84"/>
      <c r="Z400" s="84"/>
      <c r="AA400" s="84"/>
      <c r="AB400" s="84"/>
      <c r="AC400" s="84"/>
      <c r="AD400" s="84"/>
      <c r="AE400" s="84">
        <v>0.8</v>
      </c>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79"/>
      <c r="BI400" s="79"/>
      <c r="BJ400" s="78"/>
      <c r="BK400" s="48"/>
      <c r="BL400" s="44"/>
      <c r="BM400" s="79"/>
      <c r="BN400" s="75"/>
      <c r="BO400" s="75"/>
    </row>
    <row r="401" spans="1:67" s="4" customFormat="1" ht="62.4" x14ac:dyDescent="0.3">
      <c r="A401" s="48">
        <v>96</v>
      </c>
      <c r="B401" s="42" t="s">
        <v>349</v>
      </c>
      <c r="C401" s="48" t="s">
        <v>41</v>
      </c>
      <c r="D401" s="39">
        <v>0.96</v>
      </c>
      <c r="E401" s="39">
        <v>0.4</v>
      </c>
      <c r="F401" s="39">
        <v>0.56000000000000005</v>
      </c>
      <c r="G401" s="39">
        <v>0.12</v>
      </c>
      <c r="H401" s="39"/>
      <c r="I401" s="39"/>
      <c r="J401" s="39">
        <v>0.44</v>
      </c>
      <c r="K401" s="92"/>
      <c r="L401" s="42" t="s">
        <v>347</v>
      </c>
      <c r="M401" s="44">
        <v>20</v>
      </c>
      <c r="N401" s="209">
        <v>336</v>
      </c>
      <c r="O401" s="44"/>
      <c r="P401" s="84"/>
      <c r="Q401" s="84"/>
      <c r="R401" s="84"/>
      <c r="S401" s="84"/>
      <c r="T401" s="84"/>
      <c r="U401" s="84"/>
      <c r="V401" s="84"/>
      <c r="W401" s="84"/>
      <c r="X401" s="84"/>
      <c r="Y401" s="84"/>
      <c r="Z401" s="84">
        <v>0.44</v>
      </c>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79"/>
      <c r="BI401" s="79"/>
      <c r="BJ401" s="78">
        <f t="shared" si="50"/>
        <v>0</v>
      </c>
      <c r="BK401" s="48"/>
      <c r="BL401" s="44">
        <v>22</v>
      </c>
      <c r="BM401" s="79">
        <f t="shared" ref="BM401:BM464" si="51">J401-SUM(V401:BH401)</f>
        <v>0</v>
      </c>
      <c r="BN401" s="75"/>
      <c r="BO401" s="75"/>
    </row>
    <row r="402" spans="1:67" s="65" customFormat="1" ht="65.25" customHeight="1" x14ac:dyDescent="0.3">
      <c r="A402" s="219">
        <v>97</v>
      </c>
      <c r="B402" s="42" t="s">
        <v>793</v>
      </c>
      <c r="C402" s="48" t="s">
        <v>41</v>
      </c>
      <c r="D402" s="39">
        <v>9.6</v>
      </c>
      <c r="E402" s="39"/>
      <c r="F402" s="39">
        <v>9.6</v>
      </c>
      <c r="G402" s="39">
        <v>2</v>
      </c>
      <c r="H402" s="39"/>
      <c r="I402" s="39"/>
      <c r="J402" s="39">
        <f>SUM(X402:BG402)</f>
        <v>7.6</v>
      </c>
      <c r="K402" s="92"/>
      <c r="L402" s="42" t="s">
        <v>794</v>
      </c>
      <c r="M402" s="49" t="s">
        <v>660</v>
      </c>
      <c r="N402" s="208">
        <v>337</v>
      </c>
      <c r="O402" s="49"/>
      <c r="P402" s="84"/>
      <c r="Q402" s="84"/>
      <c r="R402" s="84"/>
      <c r="S402" s="84"/>
      <c r="T402" s="84"/>
      <c r="U402" s="84"/>
      <c r="V402" s="84"/>
      <c r="W402" s="84"/>
      <c r="X402" s="84">
        <v>1</v>
      </c>
      <c r="Y402" s="84"/>
      <c r="Z402" s="84">
        <v>1</v>
      </c>
      <c r="AA402" s="84">
        <v>1.5</v>
      </c>
      <c r="AB402" s="84"/>
      <c r="AC402" s="84"/>
      <c r="AD402" s="84"/>
      <c r="AE402" s="84">
        <v>0.5</v>
      </c>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v>0.75</v>
      </c>
      <c r="BE402" s="84">
        <v>2.85</v>
      </c>
      <c r="BF402" s="84"/>
      <c r="BG402" s="84"/>
      <c r="BH402" s="79">
        <f>J402-SUM(V402:BG402)</f>
        <v>0</v>
      </c>
      <c r="BI402" s="79"/>
      <c r="BJ402" s="78">
        <f t="shared" si="50"/>
        <v>0</v>
      </c>
      <c r="BK402" s="48"/>
      <c r="BL402" s="44">
        <v>22</v>
      </c>
      <c r="BM402" s="79">
        <f t="shared" si="51"/>
        <v>0</v>
      </c>
      <c r="BN402" s="75"/>
      <c r="BO402" s="75"/>
    </row>
    <row r="403" spans="1:67" s="62" customFormat="1" ht="65.25" customHeight="1" x14ac:dyDescent="0.3">
      <c r="A403" s="220"/>
      <c r="B403" s="42" t="s">
        <v>1276</v>
      </c>
      <c r="C403" s="48" t="s">
        <v>41</v>
      </c>
      <c r="D403" s="39">
        <v>2.4</v>
      </c>
      <c r="E403" s="39"/>
      <c r="F403" s="39">
        <v>2.4</v>
      </c>
      <c r="G403" s="39">
        <v>0.5</v>
      </c>
      <c r="H403" s="39"/>
      <c r="I403" s="39"/>
      <c r="J403" s="39">
        <v>1.9</v>
      </c>
      <c r="K403" s="92"/>
      <c r="L403" s="42" t="s">
        <v>125</v>
      </c>
      <c r="M403" s="49"/>
      <c r="N403" s="49"/>
      <c r="O403" s="49"/>
      <c r="P403" s="84"/>
      <c r="Q403" s="84"/>
      <c r="R403" s="84"/>
      <c r="S403" s="84"/>
      <c r="T403" s="84"/>
      <c r="U403" s="84"/>
      <c r="V403" s="84"/>
      <c r="W403" s="84"/>
      <c r="X403" s="84">
        <v>0.25</v>
      </c>
      <c r="Y403" s="84"/>
      <c r="Z403" s="84">
        <v>0.25</v>
      </c>
      <c r="AA403" s="84">
        <v>0.38</v>
      </c>
      <c r="AB403" s="84"/>
      <c r="AC403" s="84"/>
      <c r="AD403" s="84"/>
      <c r="AE403" s="84">
        <v>0.12</v>
      </c>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v>0.25</v>
      </c>
      <c r="BE403" s="84">
        <v>0.65</v>
      </c>
      <c r="BF403" s="84"/>
      <c r="BG403" s="84"/>
      <c r="BH403" s="79"/>
      <c r="BI403" s="79"/>
      <c r="BJ403" s="78"/>
      <c r="BK403" s="48"/>
      <c r="BL403" s="44"/>
      <c r="BM403" s="79">
        <f t="shared" si="51"/>
        <v>0</v>
      </c>
      <c r="BN403" s="75"/>
      <c r="BO403" s="75"/>
    </row>
    <row r="404" spans="1:67" s="62" customFormat="1" ht="65.25" customHeight="1" x14ac:dyDescent="0.3">
      <c r="A404" s="220"/>
      <c r="B404" s="42" t="s">
        <v>1277</v>
      </c>
      <c r="C404" s="48" t="s">
        <v>41</v>
      </c>
      <c r="D404" s="39">
        <v>2.4</v>
      </c>
      <c r="E404" s="39"/>
      <c r="F404" s="39">
        <v>2.4</v>
      </c>
      <c r="G404" s="39">
        <v>0.5</v>
      </c>
      <c r="H404" s="39"/>
      <c r="I404" s="39"/>
      <c r="J404" s="39">
        <v>1.9</v>
      </c>
      <c r="K404" s="92"/>
      <c r="L404" s="42" t="s">
        <v>280</v>
      </c>
      <c r="M404" s="49"/>
      <c r="N404" s="49"/>
      <c r="O404" s="49"/>
      <c r="P404" s="84"/>
      <c r="Q404" s="84"/>
      <c r="R404" s="84"/>
      <c r="S404" s="84"/>
      <c r="T404" s="84"/>
      <c r="U404" s="84"/>
      <c r="V404" s="84"/>
      <c r="W404" s="84"/>
      <c r="X404" s="84">
        <v>0.25</v>
      </c>
      <c r="Y404" s="84"/>
      <c r="Z404" s="84">
        <v>0.25</v>
      </c>
      <c r="AA404" s="84">
        <v>0.38</v>
      </c>
      <c r="AB404" s="84"/>
      <c r="AC404" s="84"/>
      <c r="AD404" s="84"/>
      <c r="AE404" s="84">
        <v>0.12</v>
      </c>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v>0.9</v>
      </c>
      <c r="BF404" s="84"/>
      <c r="BG404" s="84"/>
      <c r="BH404" s="79"/>
      <c r="BI404" s="79"/>
      <c r="BJ404" s="78"/>
      <c r="BK404" s="48"/>
      <c r="BL404" s="44"/>
      <c r="BM404" s="79">
        <f t="shared" si="51"/>
        <v>0</v>
      </c>
      <c r="BN404" s="75"/>
      <c r="BO404" s="75"/>
    </row>
    <row r="405" spans="1:67" s="62" customFormat="1" ht="65.25" customHeight="1" x14ac:dyDescent="0.3">
      <c r="A405" s="220"/>
      <c r="B405" s="42" t="s">
        <v>1278</v>
      </c>
      <c r="C405" s="48" t="s">
        <v>41</v>
      </c>
      <c r="D405" s="39">
        <v>2.4</v>
      </c>
      <c r="E405" s="39"/>
      <c r="F405" s="39">
        <v>2.4</v>
      </c>
      <c r="G405" s="39">
        <v>0.5</v>
      </c>
      <c r="H405" s="39"/>
      <c r="I405" s="39"/>
      <c r="J405" s="39">
        <v>1.9</v>
      </c>
      <c r="K405" s="92"/>
      <c r="L405" s="42" t="s">
        <v>93</v>
      </c>
      <c r="M405" s="49"/>
      <c r="N405" s="49"/>
      <c r="O405" s="49"/>
      <c r="P405" s="84"/>
      <c r="Q405" s="84"/>
      <c r="R405" s="84"/>
      <c r="S405" s="84"/>
      <c r="T405" s="84"/>
      <c r="U405" s="84"/>
      <c r="V405" s="84"/>
      <c r="W405" s="84"/>
      <c r="X405" s="84">
        <v>0.25</v>
      </c>
      <c r="Y405" s="84"/>
      <c r="Z405" s="84">
        <v>0.25</v>
      </c>
      <c r="AA405" s="84">
        <v>0.38</v>
      </c>
      <c r="AB405" s="84"/>
      <c r="AC405" s="84"/>
      <c r="AD405" s="84"/>
      <c r="AE405" s="84">
        <v>0.12</v>
      </c>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v>0.25</v>
      </c>
      <c r="BE405" s="84">
        <v>0.65</v>
      </c>
      <c r="BF405" s="84"/>
      <c r="BG405" s="84"/>
      <c r="BH405" s="79"/>
      <c r="BI405" s="79"/>
      <c r="BJ405" s="78"/>
      <c r="BK405" s="48"/>
      <c r="BL405" s="44"/>
      <c r="BM405" s="79">
        <f t="shared" si="51"/>
        <v>0</v>
      </c>
      <c r="BN405" s="75"/>
      <c r="BO405" s="75"/>
    </row>
    <row r="406" spans="1:67" s="62" customFormat="1" ht="65.25" customHeight="1" x14ac:dyDescent="0.3">
      <c r="A406" s="221"/>
      <c r="B406" s="42" t="s">
        <v>1279</v>
      </c>
      <c r="C406" s="48" t="s">
        <v>41</v>
      </c>
      <c r="D406" s="39">
        <v>2.4</v>
      </c>
      <c r="E406" s="39"/>
      <c r="F406" s="39">
        <v>2.4</v>
      </c>
      <c r="G406" s="39">
        <v>0.5</v>
      </c>
      <c r="H406" s="39"/>
      <c r="I406" s="39"/>
      <c r="J406" s="39">
        <v>1.9</v>
      </c>
      <c r="K406" s="92"/>
      <c r="L406" s="42" t="s">
        <v>347</v>
      </c>
      <c r="M406" s="49"/>
      <c r="N406" s="49"/>
      <c r="O406" s="49"/>
      <c r="P406" s="84"/>
      <c r="Q406" s="84"/>
      <c r="R406" s="84"/>
      <c r="S406" s="84"/>
      <c r="T406" s="84"/>
      <c r="U406" s="84"/>
      <c r="V406" s="84"/>
      <c r="W406" s="84"/>
      <c r="X406" s="84">
        <v>0.25</v>
      </c>
      <c r="Y406" s="84"/>
      <c r="Z406" s="84">
        <v>0.25</v>
      </c>
      <c r="AA406" s="84">
        <v>0.36</v>
      </c>
      <c r="AB406" s="84"/>
      <c r="AC406" s="84"/>
      <c r="AD406" s="84"/>
      <c r="AE406" s="84">
        <v>0.14000000000000001</v>
      </c>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v>0.25</v>
      </c>
      <c r="BE406" s="84">
        <v>0.65</v>
      </c>
      <c r="BF406" s="84"/>
      <c r="BG406" s="84"/>
      <c r="BH406" s="79"/>
      <c r="BI406" s="79"/>
      <c r="BJ406" s="78"/>
      <c r="BK406" s="48"/>
      <c r="BL406" s="44"/>
      <c r="BM406" s="79">
        <f t="shared" si="51"/>
        <v>0</v>
      </c>
      <c r="BN406" s="75"/>
      <c r="BO406" s="75"/>
    </row>
    <row r="407" spans="1:67" s="4" customFormat="1" ht="98.25" customHeight="1" x14ac:dyDescent="0.3">
      <c r="A407" s="48">
        <v>98</v>
      </c>
      <c r="B407" s="102" t="s">
        <v>696</v>
      </c>
      <c r="C407" s="96" t="s">
        <v>41</v>
      </c>
      <c r="D407" s="108">
        <v>2.1</v>
      </c>
      <c r="E407" s="108">
        <v>1.8</v>
      </c>
      <c r="F407" s="108">
        <v>0.3</v>
      </c>
      <c r="G407" s="108">
        <v>0.15</v>
      </c>
      <c r="H407" s="108"/>
      <c r="I407" s="108"/>
      <c r="J407" s="108">
        <v>0.15</v>
      </c>
      <c r="K407" s="94" t="s">
        <v>850</v>
      </c>
      <c r="L407" s="94" t="s">
        <v>233</v>
      </c>
      <c r="M407" s="49" t="s">
        <v>672</v>
      </c>
      <c r="N407" s="208">
        <v>338</v>
      </c>
      <c r="O407" s="49"/>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v>0.15</v>
      </c>
      <c r="BF407" s="84"/>
      <c r="BG407" s="84"/>
      <c r="BH407" s="79"/>
      <c r="BI407" s="79"/>
      <c r="BJ407" s="78">
        <f t="shared" si="50"/>
        <v>0</v>
      </c>
      <c r="BK407" s="48"/>
      <c r="BL407" s="44">
        <v>22</v>
      </c>
      <c r="BM407" s="79">
        <f t="shared" si="51"/>
        <v>0</v>
      </c>
      <c r="BN407" s="75"/>
      <c r="BO407" s="75"/>
    </row>
    <row r="408" spans="1:67" s="4" customFormat="1" ht="33" customHeight="1" x14ac:dyDescent="0.3">
      <c r="A408" s="48">
        <v>99</v>
      </c>
      <c r="B408" s="42" t="s">
        <v>297</v>
      </c>
      <c r="C408" s="48" t="s">
        <v>41</v>
      </c>
      <c r="D408" s="39">
        <v>4.5</v>
      </c>
      <c r="E408" s="39"/>
      <c r="F408" s="39">
        <v>4.5</v>
      </c>
      <c r="G408" s="39">
        <v>1</v>
      </c>
      <c r="H408" s="39"/>
      <c r="I408" s="39"/>
      <c r="J408" s="39">
        <f>SUM(Z408:BG408)</f>
        <v>3.5</v>
      </c>
      <c r="K408" s="42" t="s">
        <v>298</v>
      </c>
      <c r="L408" s="42" t="s">
        <v>294</v>
      </c>
      <c r="M408" s="43">
        <v>3</v>
      </c>
      <c r="N408" s="210">
        <v>339</v>
      </c>
      <c r="O408" s="43"/>
      <c r="P408" s="84"/>
      <c r="Q408" s="84"/>
      <c r="R408" s="84"/>
      <c r="S408" s="84"/>
      <c r="T408" s="84"/>
      <c r="U408" s="84"/>
      <c r="V408" s="84"/>
      <c r="W408" s="84"/>
      <c r="X408" s="84"/>
      <c r="Y408" s="84"/>
      <c r="Z408" s="48">
        <v>1.2</v>
      </c>
      <c r="AA408" s="48">
        <v>0.7</v>
      </c>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v>0.5</v>
      </c>
      <c r="BE408" s="48">
        <v>1.1000000000000001</v>
      </c>
      <c r="BF408" s="48"/>
      <c r="BG408" s="48"/>
      <c r="BH408" s="48"/>
      <c r="BI408" s="48"/>
      <c r="BJ408" s="78">
        <f t="shared" si="50"/>
        <v>0</v>
      </c>
      <c r="BK408" s="48"/>
      <c r="BL408" s="44">
        <v>22</v>
      </c>
      <c r="BM408" s="79">
        <f t="shared" si="51"/>
        <v>0</v>
      </c>
      <c r="BN408" s="75"/>
      <c r="BO408" s="75"/>
    </row>
    <row r="409" spans="1:67" s="4" customFormat="1" ht="31.2" x14ac:dyDescent="0.3">
      <c r="A409" s="48">
        <v>100</v>
      </c>
      <c r="B409" s="42" t="s">
        <v>299</v>
      </c>
      <c r="C409" s="48" t="s">
        <v>41</v>
      </c>
      <c r="D409" s="39">
        <v>4</v>
      </c>
      <c r="E409" s="39"/>
      <c r="F409" s="39">
        <v>4</v>
      </c>
      <c r="G409" s="39">
        <v>1</v>
      </c>
      <c r="H409" s="39"/>
      <c r="I409" s="39"/>
      <c r="J409" s="39">
        <f>SUM(Z409:BG409)</f>
        <v>3</v>
      </c>
      <c r="K409" s="42"/>
      <c r="L409" s="42" t="s">
        <v>294</v>
      </c>
      <c r="M409" s="44">
        <v>37</v>
      </c>
      <c r="N409" s="209">
        <v>340</v>
      </c>
      <c r="O409" s="44"/>
      <c r="P409" s="84"/>
      <c r="Q409" s="84"/>
      <c r="R409" s="84"/>
      <c r="S409" s="84"/>
      <c r="T409" s="84"/>
      <c r="U409" s="84"/>
      <c r="V409" s="84"/>
      <c r="W409" s="84"/>
      <c r="X409" s="84"/>
      <c r="Y409" s="84"/>
      <c r="Z409" s="48">
        <v>1</v>
      </c>
      <c r="AA409" s="48">
        <v>0.7</v>
      </c>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v>0.3</v>
      </c>
      <c r="BE409" s="48">
        <v>1</v>
      </c>
      <c r="BF409" s="48"/>
      <c r="BG409" s="48"/>
      <c r="BH409" s="48"/>
      <c r="BI409" s="48"/>
      <c r="BJ409" s="78">
        <f t="shared" si="50"/>
        <v>0</v>
      </c>
      <c r="BK409" s="48"/>
      <c r="BL409" s="44">
        <v>22</v>
      </c>
      <c r="BM409" s="79">
        <f t="shared" si="51"/>
        <v>0</v>
      </c>
      <c r="BN409" s="75"/>
      <c r="BO409" s="75"/>
    </row>
    <row r="410" spans="1:67" s="4" customFormat="1" ht="46.8" x14ac:dyDescent="0.3">
      <c r="A410" s="48">
        <v>101</v>
      </c>
      <c r="B410" s="170" t="s">
        <v>300</v>
      </c>
      <c r="C410" s="96" t="s">
        <v>41</v>
      </c>
      <c r="D410" s="108">
        <v>5.7</v>
      </c>
      <c r="E410" s="108">
        <v>0.2</v>
      </c>
      <c r="F410" s="108">
        <v>5.5</v>
      </c>
      <c r="G410" s="39">
        <v>1.2</v>
      </c>
      <c r="H410" s="163"/>
      <c r="I410" s="39"/>
      <c r="J410" s="39">
        <f>SUM(Z410:BG410)</f>
        <v>4.3</v>
      </c>
      <c r="K410" s="94" t="s">
        <v>301</v>
      </c>
      <c r="L410" s="42" t="s">
        <v>294</v>
      </c>
      <c r="M410" s="44">
        <v>44</v>
      </c>
      <c r="N410" s="209">
        <v>341</v>
      </c>
      <c r="O410" s="44"/>
      <c r="P410" s="84"/>
      <c r="Q410" s="84"/>
      <c r="R410" s="84"/>
      <c r="S410" s="84"/>
      <c r="T410" s="84"/>
      <c r="U410" s="84"/>
      <c r="V410" s="84"/>
      <c r="W410" s="84"/>
      <c r="X410" s="84"/>
      <c r="Y410" s="84"/>
      <c r="Z410" s="48">
        <v>1.2</v>
      </c>
      <c r="AA410" s="48">
        <v>0.6</v>
      </c>
      <c r="AB410" s="48"/>
      <c r="AC410" s="48"/>
      <c r="AD410" s="48"/>
      <c r="AE410" s="48">
        <v>0.5</v>
      </c>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v>2</v>
      </c>
      <c r="BF410" s="48"/>
      <c r="BG410" s="48"/>
      <c r="BH410" s="48"/>
      <c r="BI410" s="48"/>
      <c r="BJ410" s="78">
        <f t="shared" si="50"/>
        <v>0</v>
      </c>
      <c r="BK410" s="48"/>
      <c r="BL410" s="44">
        <v>22</v>
      </c>
      <c r="BM410" s="79">
        <f t="shared" si="51"/>
        <v>0</v>
      </c>
      <c r="BN410" s="75"/>
      <c r="BO410" s="75"/>
    </row>
    <row r="411" spans="1:67" s="4" customFormat="1" ht="31.2" x14ac:dyDescent="0.3">
      <c r="A411" s="48">
        <v>102</v>
      </c>
      <c r="B411" s="42" t="s">
        <v>302</v>
      </c>
      <c r="C411" s="48" t="s">
        <v>41</v>
      </c>
      <c r="D411" s="39">
        <v>2.0699999999999998</v>
      </c>
      <c r="E411" s="39"/>
      <c r="F411" s="39">
        <v>2.0699999999999998</v>
      </c>
      <c r="G411" s="39">
        <v>0.5</v>
      </c>
      <c r="H411" s="39"/>
      <c r="I411" s="39"/>
      <c r="J411" s="39">
        <v>1.57</v>
      </c>
      <c r="K411" s="92"/>
      <c r="L411" s="42" t="s">
        <v>294</v>
      </c>
      <c r="M411" s="44">
        <v>55</v>
      </c>
      <c r="N411" s="209">
        <v>342</v>
      </c>
      <c r="O411" s="44"/>
      <c r="P411" s="84"/>
      <c r="Q411" s="84"/>
      <c r="R411" s="84"/>
      <c r="S411" s="84"/>
      <c r="T411" s="84"/>
      <c r="U411" s="84"/>
      <c r="V411" s="84"/>
      <c r="W411" s="84"/>
      <c r="X411" s="84"/>
      <c r="Y411" s="84"/>
      <c r="Z411" s="48">
        <v>0.5</v>
      </c>
      <c r="AA411" s="48">
        <v>0.5</v>
      </c>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v>0.56999999999999995</v>
      </c>
      <c r="BF411" s="48"/>
      <c r="BG411" s="48"/>
      <c r="BH411" s="48"/>
      <c r="BI411" s="48"/>
      <c r="BJ411" s="78">
        <f t="shared" si="50"/>
        <v>0</v>
      </c>
      <c r="BK411" s="48"/>
      <c r="BL411" s="44">
        <v>22</v>
      </c>
      <c r="BM411" s="79">
        <f t="shared" si="51"/>
        <v>0</v>
      </c>
      <c r="BN411" s="75"/>
      <c r="BO411" s="75"/>
    </row>
    <row r="412" spans="1:67" s="4" customFormat="1" ht="31.2" x14ac:dyDescent="0.3">
      <c r="A412" s="48">
        <v>103</v>
      </c>
      <c r="B412" s="42" t="s">
        <v>365</v>
      </c>
      <c r="C412" s="48" t="s">
        <v>41</v>
      </c>
      <c r="D412" s="39">
        <v>1.2</v>
      </c>
      <c r="E412" s="39"/>
      <c r="F412" s="39">
        <v>1.2</v>
      </c>
      <c r="G412" s="39">
        <v>0.55000000000000004</v>
      </c>
      <c r="H412" s="39"/>
      <c r="I412" s="39"/>
      <c r="J412" s="39">
        <f>SUM(V412:BG412)</f>
        <v>0.65</v>
      </c>
      <c r="K412" s="42" t="s">
        <v>366</v>
      </c>
      <c r="L412" s="42" t="s">
        <v>364</v>
      </c>
      <c r="M412" s="44">
        <v>11</v>
      </c>
      <c r="N412" s="209">
        <v>343</v>
      </c>
      <c r="O412" s="44"/>
      <c r="P412" s="39"/>
      <c r="Q412" s="39"/>
      <c r="R412" s="39"/>
      <c r="S412" s="39"/>
      <c r="T412" s="39"/>
      <c r="U412" s="39"/>
      <c r="V412" s="39"/>
      <c r="W412" s="39"/>
      <c r="X412" s="39"/>
      <c r="Y412" s="39"/>
      <c r="Z412" s="39">
        <v>0.2</v>
      </c>
      <c r="AA412" s="39">
        <v>0.2</v>
      </c>
      <c r="AB412" s="39"/>
      <c r="AC412" s="39"/>
      <c r="AD412" s="39"/>
      <c r="AE412" s="39">
        <v>0.1</v>
      </c>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v>0.15</v>
      </c>
      <c r="BF412" s="39"/>
      <c r="BG412" s="39"/>
      <c r="BH412" s="39"/>
      <c r="BI412" s="39"/>
      <c r="BJ412" s="78">
        <f t="shared" si="50"/>
        <v>0</v>
      </c>
      <c r="BK412" s="84"/>
      <c r="BL412" s="44">
        <v>22</v>
      </c>
      <c r="BM412" s="79">
        <f t="shared" si="51"/>
        <v>0</v>
      </c>
      <c r="BN412" s="75"/>
      <c r="BO412" s="75"/>
    </row>
    <row r="413" spans="1:67" s="57" customFormat="1" ht="31.2" x14ac:dyDescent="0.3">
      <c r="A413" s="219">
        <v>104</v>
      </c>
      <c r="B413" s="42" t="s">
        <v>668</v>
      </c>
      <c r="C413" s="48" t="s">
        <v>41</v>
      </c>
      <c r="D413" s="39">
        <v>3.15</v>
      </c>
      <c r="E413" s="39">
        <v>2.1</v>
      </c>
      <c r="F413" s="39">
        <v>1.05</v>
      </c>
      <c r="G413" s="39">
        <v>0.67</v>
      </c>
      <c r="H413" s="39"/>
      <c r="I413" s="39"/>
      <c r="J413" s="39">
        <f>SUM(V413:BG413)</f>
        <v>0.38000000000000012</v>
      </c>
      <c r="K413" s="42"/>
      <c r="L413" s="42" t="s">
        <v>667</v>
      </c>
      <c r="M413" s="48" t="s">
        <v>666</v>
      </c>
      <c r="N413" s="206">
        <v>344</v>
      </c>
      <c r="O413" s="48"/>
      <c r="P413" s="39"/>
      <c r="Q413" s="39"/>
      <c r="R413" s="39"/>
      <c r="S413" s="39"/>
      <c r="T413" s="39"/>
      <c r="U413" s="39"/>
      <c r="V413" s="39"/>
      <c r="W413" s="39"/>
      <c r="X413" s="39"/>
      <c r="Y413" s="39"/>
      <c r="Z413" s="39"/>
      <c r="AA413" s="39">
        <f>1.08-0.7</f>
        <v>0.38000000000000012</v>
      </c>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78">
        <f t="shared" si="50"/>
        <v>0</v>
      </c>
      <c r="BK413" s="84"/>
      <c r="BL413" s="44">
        <v>22</v>
      </c>
      <c r="BM413" s="79">
        <f t="shared" si="51"/>
        <v>0</v>
      </c>
      <c r="BN413" s="75"/>
      <c r="BO413" s="75"/>
    </row>
    <row r="414" spans="1:67" s="62" customFormat="1" ht="46.8" x14ac:dyDescent="0.3">
      <c r="A414" s="220"/>
      <c r="B414" s="42" t="s">
        <v>1280</v>
      </c>
      <c r="C414" s="48" t="s">
        <v>41</v>
      </c>
      <c r="D414" s="39">
        <v>1.58</v>
      </c>
      <c r="E414" s="39">
        <v>1.05</v>
      </c>
      <c r="F414" s="39">
        <v>0.53</v>
      </c>
      <c r="G414" s="39">
        <v>0.34</v>
      </c>
      <c r="H414" s="39"/>
      <c r="I414" s="39"/>
      <c r="J414" s="39">
        <v>0.19</v>
      </c>
      <c r="K414" s="42"/>
      <c r="L414" s="42" t="s">
        <v>81</v>
      </c>
      <c r="M414" s="48"/>
      <c r="N414" s="48"/>
      <c r="O414" s="48"/>
      <c r="P414" s="39"/>
      <c r="Q414" s="39"/>
      <c r="R414" s="39"/>
      <c r="S414" s="39"/>
      <c r="T414" s="39"/>
      <c r="U414" s="39"/>
      <c r="V414" s="39"/>
      <c r="W414" s="39"/>
      <c r="X414" s="39"/>
      <c r="Y414" s="39"/>
      <c r="Z414" s="39"/>
      <c r="AA414" s="39">
        <v>0.19</v>
      </c>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78">
        <f>D414-E414-F414</f>
        <v>0</v>
      </c>
      <c r="BK414" s="84"/>
      <c r="BL414" s="44"/>
      <c r="BM414" s="79">
        <f t="shared" si="51"/>
        <v>0</v>
      </c>
      <c r="BN414" s="75"/>
      <c r="BO414" s="75"/>
    </row>
    <row r="415" spans="1:67" s="62" customFormat="1" ht="46.8" x14ac:dyDescent="0.3">
      <c r="A415" s="221"/>
      <c r="B415" s="42" t="s">
        <v>1281</v>
      </c>
      <c r="C415" s="48" t="s">
        <v>41</v>
      </c>
      <c r="D415" s="39">
        <v>1.57</v>
      </c>
      <c r="E415" s="39">
        <v>1.05</v>
      </c>
      <c r="F415" s="39">
        <v>0.52</v>
      </c>
      <c r="G415" s="39">
        <v>0.33</v>
      </c>
      <c r="H415" s="39"/>
      <c r="I415" s="39"/>
      <c r="J415" s="39">
        <v>0.19</v>
      </c>
      <c r="K415" s="42"/>
      <c r="L415" s="42" t="s">
        <v>364</v>
      </c>
      <c r="M415" s="48"/>
      <c r="N415" s="48"/>
      <c r="O415" s="48"/>
      <c r="P415" s="39"/>
      <c r="Q415" s="39"/>
      <c r="R415" s="39"/>
      <c r="S415" s="39"/>
      <c r="T415" s="39"/>
      <c r="U415" s="39"/>
      <c r="V415" s="39"/>
      <c r="W415" s="39"/>
      <c r="X415" s="39"/>
      <c r="Y415" s="39"/>
      <c r="Z415" s="39"/>
      <c r="AA415" s="39">
        <v>0.19</v>
      </c>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78"/>
      <c r="BK415" s="84"/>
      <c r="BL415" s="44"/>
      <c r="BM415" s="79">
        <f t="shared" si="51"/>
        <v>0</v>
      </c>
      <c r="BN415" s="75"/>
      <c r="BO415" s="75"/>
    </row>
    <row r="416" spans="1:67" s="4" customFormat="1" ht="31.2" x14ac:dyDescent="0.3">
      <c r="A416" s="48">
        <v>105</v>
      </c>
      <c r="B416" s="42" t="s">
        <v>493</v>
      </c>
      <c r="C416" s="48" t="s">
        <v>41</v>
      </c>
      <c r="D416" s="41">
        <v>0.5</v>
      </c>
      <c r="E416" s="41"/>
      <c r="F416" s="41">
        <v>0.5</v>
      </c>
      <c r="G416" s="39"/>
      <c r="H416" s="39"/>
      <c r="I416" s="39"/>
      <c r="J416" s="39">
        <f>SUM(Z416:BG416)</f>
        <v>0.5</v>
      </c>
      <c r="K416" s="42"/>
      <c r="L416" s="42" t="s">
        <v>377</v>
      </c>
      <c r="M416" s="43">
        <v>1</v>
      </c>
      <c r="N416" s="210">
        <v>345</v>
      </c>
      <c r="O416" s="43"/>
      <c r="P416" s="84"/>
      <c r="Q416" s="84"/>
      <c r="R416" s="84"/>
      <c r="S416" s="84"/>
      <c r="T416" s="84"/>
      <c r="U416" s="84"/>
      <c r="V416" s="84"/>
      <c r="W416" s="84"/>
      <c r="X416" s="84"/>
      <c r="Y416" s="84"/>
      <c r="Z416" s="84"/>
      <c r="AA416" s="84">
        <v>0.35</v>
      </c>
      <c r="AB416" s="84"/>
      <c r="AC416" s="84"/>
      <c r="AD416" s="84"/>
      <c r="AE416" s="84">
        <v>0.15</v>
      </c>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78">
        <f t="shared" si="50"/>
        <v>0</v>
      </c>
      <c r="BK416" s="84"/>
      <c r="BL416" s="44">
        <v>22</v>
      </c>
      <c r="BM416" s="79">
        <f t="shared" si="51"/>
        <v>0</v>
      </c>
      <c r="BN416" s="75"/>
      <c r="BO416" s="75"/>
    </row>
    <row r="417" spans="1:67" s="4" customFormat="1" x14ac:dyDescent="0.3">
      <c r="A417" s="48">
        <v>106</v>
      </c>
      <c r="B417" s="42" t="s">
        <v>494</v>
      </c>
      <c r="C417" s="48" t="s">
        <v>41</v>
      </c>
      <c r="D417" s="41">
        <v>1.25</v>
      </c>
      <c r="E417" s="41"/>
      <c r="F417" s="41">
        <v>1.25</v>
      </c>
      <c r="G417" s="39">
        <v>0.35</v>
      </c>
      <c r="H417" s="39"/>
      <c r="I417" s="39"/>
      <c r="J417" s="39">
        <f>SUM(Z417:BG417)</f>
        <v>0.9</v>
      </c>
      <c r="K417" s="42"/>
      <c r="L417" s="42" t="s">
        <v>377</v>
      </c>
      <c r="M417" s="43">
        <v>2</v>
      </c>
      <c r="N417" s="210">
        <v>346</v>
      </c>
      <c r="O417" s="43"/>
      <c r="P417" s="84"/>
      <c r="Q417" s="84"/>
      <c r="R417" s="84"/>
      <c r="S417" s="84"/>
      <c r="T417" s="84"/>
      <c r="U417" s="84"/>
      <c r="V417" s="84"/>
      <c r="W417" s="84"/>
      <c r="X417" s="84"/>
      <c r="Y417" s="84"/>
      <c r="Z417" s="84">
        <v>0.45</v>
      </c>
      <c r="AA417" s="84">
        <v>0.25</v>
      </c>
      <c r="AB417" s="84"/>
      <c r="AC417" s="84"/>
      <c r="AD417" s="84"/>
      <c r="AE417" s="84">
        <v>0.15</v>
      </c>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v>0.05</v>
      </c>
      <c r="BF417" s="84"/>
      <c r="BG417" s="84"/>
      <c r="BH417" s="84"/>
      <c r="BI417" s="84"/>
      <c r="BJ417" s="78">
        <f t="shared" si="50"/>
        <v>0</v>
      </c>
      <c r="BK417" s="84"/>
      <c r="BL417" s="44">
        <v>22</v>
      </c>
      <c r="BM417" s="79">
        <f t="shared" si="51"/>
        <v>0</v>
      </c>
      <c r="BN417" s="75"/>
      <c r="BO417" s="75"/>
    </row>
    <row r="418" spans="1:67" s="4" customFormat="1" ht="31.2" x14ac:dyDescent="0.3">
      <c r="A418" s="48">
        <v>107</v>
      </c>
      <c r="B418" s="42" t="s">
        <v>472</v>
      </c>
      <c r="C418" s="48" t="s">
        <v>41</v>
      </c>
      <c r="D418" s="41">
        <v>6.5</v>
      </c>
      <c r="E418" s="41"/>
      <c r="F418" s="41">
        <v>6.5</v>
      </c>
      <c r="G418" s="39">
        <v>1.1499999999999999</v>
      </c>
      <c r="H418" s="39"/>
      <c r="I418" s="39"/>
      <c r="J418" s="39">
        <f>SUM(Z418:BG418)</f>
        <v>5.35</v>
      </c>
      <c r="K418" s="42"/>
      <c r="L418" s="42" t="s">
        <v>377</v>
      </c>
      <c r="M418" s="43">
        <v>3</v>
      </c>
      <c r="N418" s="210">
        <v>347</v>
      </c>
      <c r="O418" s="43"/>
      <c r="P418" s="84"/>
      <c r="Q418" s="84"/>
      <c r="R418" s="84"/>
      <c r="S418" s="84"/>
      <c r="T418" s="84"/>
      <c r="U418" s="84"/>
      <c r="V418" s="84"/>
      <c r="W418" s="84"/>
      <c r="X418" s="84"/>
      <c r="Y418" s="84"/>
      <c r="Z418" s="84">
        <v>0.85</v>
      </c>
      <c r="AA418" s="84">
        <v>1.25</v>
      </c>
      <c r="AB418" s="84"/>
      <c r="AC418" s="84"/>
      <c r="AD418" s="84"/>
      <c r="AE418" s="84">
        <v>0.25</v>
      </c>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v>3</v>
      </c>
      <c r="BF418" s="84"/>
      <c r="BG418" s="84"/>
      <c r="BH418" s="84"/>
      <c r="BI418" s="84"/>
      <c r="BJ418" s="78">
        <f t="shared" si="50"/>
        <v>0</v>
      </c>
      <c r="BK418" s="84"/>
      <c r="BL418" s="44">
        <v>22</v>
      </c>
      <c r="BM418" s="79">
        <f t="shared" si="51"/>
        <v>0</v>
      </c>
      <c r="BN418" s="75"/>
      <c r="BO418" s="75"/>
    </row>
    <row r="419" spans="1:67" s="4" customFormat="1" ht="31.2" x14ac:dyDescent="0.3">
      <c r="A419" s="48">
        <v>108</v>
      </c>
      <c r="B419" s="42" t="s">
        <v>495</v>
      </c>
      <c r="C419" s="48" t="s">
        <v>41</v>
      </c>
      <c r="D419" s="41">
        <v>2.7</v>
      </c>
      <c r="E419" s="41"/>
      <c r="F419" s="41">
        <v>2.7</v>
      </c>
      <c r="G419" s="39">
        <v>0.9</v>
      </c>
      <c r="H419" s="39"/>
      <c r="I419" s="39"/>
      <c r="J419" s="39">
        <f>SUM(P419:BE419)</f>
        <v>1.8</v>
      </c>
      <c r="K419" s="92"/>
      <c r="L419" s="42" t="s">
        <v>395</v>
      </c>
      <c r="M419" s="43">
        <v>2</v>
      </c>
      <c r="N419" s="210">
        <v>348</v>
      </c>
      <c r="O419" s="43"/>
      <c r="P419" s="119"/>
      <c r="Q419" s="119"/>
      <c r="R419" s="119"/>
      <c r="S419" s="119"/>
      <c r="T419" s="119"/>
      <c r="U419" s="119"/>
      <c r="V419" s="119"/>
      <c r="W419" s="119"/>
      <c r="X419" s="119"/>
      <c r="Y419" s="119"/>
      <c r="Z419" s="119"/>
      <c r="AA419" s="119">
        <v>0.1</v>
      </c>
      <c r="AB419" s="119"/>
      <c r="AC419" s="119"/>
      <c r="AD419" s="119"/>
      <c r="AE419" s="119">
        <v>0.9</v>
      </c>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v>0.8</v>
      </c>
      <c r="BF419" s="119"/>
      <c r="BG419" s="119"/>
      <c r="BH419" s="119"/>
      <c r="BI419" s="119"/>
      <c r="BJ419" s="78">
        <f t="shared" si="50"/>
        <v>0</v>
      </c>
      <c r="BK419" s="84"/>
      <c r="BL419" s="44">
        <v>22</v>
      </c>
      <c r="BM419" s="79">
        <f t="shared" si="51"/>
        <v>0</v>
      </c>
      <c r="BN419" s="75"/>
      <c r="BO419" s="75"/>
    </row>
    <row r="420" spans="1:67" s="4" customFormat="1" ht="31.2" x14ac:dyDescent="0.3">
      <c r="A420" s="48">
        <v>109</v>
      </c>
      <c r="B420" s="42" t="s">
        <v>496</v>
      </c>
      <c r="C420" s="48" t="s">
        <v>41</v>
      </c>
      <c r="D420" s="41">
        <v>1.41</v>
      </c>
      <c r="E420" s="41"/>
      <c r="F420" s="41">
        <v>1.41</v>
      </c>
      <c r="G420" s="39">
        <v>0.41</v>
      </c>
      <c r="H420" s="39"/>
      <c r="I420" s="39"/>
      <c r="J420" s="39">
        <f>SUM(P420:BE420)</f>
        <v>1</v>
      </c>
      <c r="K420" s="92"/>
      <c r="L420" s="42" t="s">
        <v>395</v>
      </c>
      <c r="M420" s="43">
        <v>3</v>
      </c>
      <c r="N420" s="210">
        <v>349</v>
      </c>
      <c r="O420" s="43"/>
      <c r="P420" s="119"/>
      <c r="Q420" s="119"/>
      <c r="R420" s="119"/>
      <c r="S420" s="119"/>
      <c r="T420" s="119"/>
      <c r="U420" s="119"/>
      <c r="V420" s="119"/>
      <c r="W420" s="119"/>
      <c r="X420" s="119"/>
      <c r="Y420" s="119"/>
      <c r="Z420" s="119"/>
      <c r="AA420" s="119"/>
      <c r="AB420" s="119"/>
      <c r="AC420" s="119"/>
      <c r="AD420" s="119"/>
      <c r="AE420" s="119">
        <v>0.5</v>
      </c>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v>0.5</v>
      </c>
      <c r="BF420" s="119"/>
      <c r="BG420" s="119"/>
      <c r="BH420" s="119"/>
      <c r="BI420" s="119"/>
      <c r="BJ420" s="78">
        <f t="shared" si="50"/>
        <v>0</v>
      </c>
      <c r="BK420" s="84"/>
      <c r="BL420" s="44">
        <v>22</v>
      </c>
      <c r="BM420" s="79">
        <f t="shared" si="51"/>
        <v>0</v>
      </c>
      <c r="BN420" s="75"/>
      <c r="BO420" s="75"/>
    </row>
    <row r="421" spans="1:67" s="4" customFormat="1" ht="31.2" x14ac:dyDescent="0.3">
      <c r="A421" s="48">
        <v>110</v>
      </c>
      <c r="B421" s="42" t="s">
        <v>472</v>
      </c>
      <c r="C421" s="48" t="s">
        <v>41</v>
      </c>
      <c r="D421" s="41">
        <v>3</v>
      </c>
      <c r="E421" s="41"/>
      <c r="F421" s="41">
        <v>3</v>
      </c>
      <c r="G421" s="39">
        <v>1.3</v>
      </c>
      <c r="H421" s="39"/>
      <c r="I421" s="39"/>
      <c r="J421" s="39">
        <f>SUM(P421:BE421)</f>
        <v>1.7000000000000002</v>
      </c>
      <c r="K421" s="92"/>
      <c r="L421" s="171" t="s">
        <v>395</v>
      </c>
      <c r="M421" s="43">
        <v>4</v>
      </c>
      <c r="N421" s="210">
        <v>350</v>
      </c>
      <c r="O421" s="43"/>
      <c r="P421" s="119"/>
      <c r="Q421" s="119"/>
      <c r="R421" s="119"/>
      <c r="S421" s="119"/>
      <c r="T421" s="119"/>
      <c r="U421" s="119"/>
      <c r="V421" s="119"/>
      <c r="W421" s="119"/>
      <c r="X421" s="119"/>
      <c r="Y421" s="119"/>
      <c r="Z421" s="119"/>
      <c r="AA421" s="119">
        <v>0.8</v>
      </c>
      <c r="AB421" s="119"/>
      <c r="AC421" s="119"/>
      <c r="AD421" s="119"/>
      <c r="AE421" s="119">
        <v>0.9</v>
      </c>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c r="BE421" s="119"/>
      <c r="BF421" s="119"/>
      <c r="BG421" s="119"/>
      <c r="BH421" s="119"/>
      <c r="BI421" s="119"/>
      <c r="BJ421" s="78">
        <f t="shared" si="50"/>
        <v>0</v>
      </c>
      <c r="BK421" s="84"/>
      <c r="BL421" s="44">
        <v>22</v>
      </c>
      <c r="BM421" s="79">
        <f t="shared" si="51"/>
        <v>0</v>
      </c>
      <c r="BN421" s="75"/>
      <c r="BO421" s="75"/>
    </row>
    <row r="422" spans="1:67" s="14" customFormat="1" ht="32.25" customHeight="1" x14ac:dyDescent="0.3">
      <c r="A422" s="48">
        <v>111</v>
      </c>
      <c r="B422" s="42" t="s">
        <v>816</v>
      </c>
      <c r="C422" s="48" t="s">
        <v>41</v>
      </c>
      <c r="D422" s="39">
        <v>1.61</v>
      </c>
      <c r="E422" s="39"/>
      <c r="F422" s="39">
        <v>1.61</v>
      </c>
      <c r="G422" s="39">
        <v>0.5</v>
      </c>
      <c r="H422" s="39"/>
      <c r="I422" s="39"/>
      <c r="J422" s="39">
        <v>1.1100000000000001</v>
      </c>
      <c r="K422" s="42" t="s">
        <v>817</v>
      </c>
      <c r="L422" s="42" t="s">
        <v>415</v>
      </c>
      <c r="M422" s="44">
        <v>61</v>
      </c>
      <c r="N422" s="209">
        <v>351</v>
      </c>
      <c r="O422" s="44"/>
      <c r="P422" s="84"/>
      <c r="Q422" s="84"/>
      <c r="R422" s="84"/>
      <c r="S422" s="84"/>
      <c r="T422" s="84"/>
      <c r="U422" s="84"/>
      <c r="V422" s="84"/>
      <c r="W422" s="84"/>
      <c r="X422" s="84"/>
      <c r="Y422" s="84"/>
      <c r="Z422" s="84">
        <v>0.5</v>
      </c>
      <c r="AA422" s="84">
        <v>0.4</v>
      </c>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v>0.21</v>
      </c>
      <c r="BF422" s="84"/>
      <c r="BG422" s="84"/>
      <c r="BH422" s="84"/>
      <c r="BI422" s="84"/>
      <c r="BJ422" s="78">
        <f t="shared" si="50"/>
        <v>0</v>
      </c>
      <c r="BK422" s="84" t="s">
        <v>672</v>
      </c>
      <c r="BL422" s="75"/>
      <c r="BM422" s="79">
        <f t="shared" si="51"/>
        <v>0</v>
      </c>
      <c r="BN422" s="75"/>
      <c r="BO422" s="75"/>
    </row>
    <row r="423" spans="1:67" s="14" customFormat="1" ht="32.25" customHeight="1" x14ac:dyDescent="0.3">
      <c r="A423" s="48">
        <v>112</v>
      </c>
      <c r="B423" s="42" t="s">
        <v>818</v>
      </c>
      <c r="C423" s="48" t="s">
        <v>41</v>
      </c>
      <c r="D423" s="39">
        <v>1.4</v>
      </c>
      <c r="E423" s="39"/>
      <c r="F423" s="39">
        <v>1.4</v>
      </c>
      <c r="G423" s="39">
        <v>0.6</v>
      </c>
      <c r="H423" s="39"/>
      <c r="I423" s="39"/>
      <c r="J423" s="39">
        <v>0.8</v>
      </c>
      <c r="K423" s="42" t="s">
        <v>819</v>
      </c>
      <c r="L423" s="42" t="s">
        <v>415</v>
      </c>
      <c r="M423" s="44">
        <v>60</v>
      </c>
      <c r="N423" s="209">
        <v>352</v>
      </c>
      <c r="O423" s="44"/>
      <c r="P423" s="84"/>
      <c r="Q423" s="84"/>
      <c r="R423" s="84"/>
      <c r="S423" s="84"/>
      <c r="T423" s="84"/>
      <c r="U423" s="84"/>
      <c r="V423" s="84"/>
      <c r="W423" s="84"/>
      <c r="X423" s="84"/>
      <c r="Y423" s="84"/>
      <c r="Z423" s="84">
        <v>0.3</v>
      </c>
      <c r="AA423" s="84">
        <v>0.5</v>
      </c>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78">
        <f t="shared" si="50"/>
        <v>0</v>
      </c>
      <c r="BK423" s="84" t="s">
        <v>672</v>
      </c>
      <c r="BL423" s="75"/>
      <c r="BM423" s="79">
        <f t="shared" si="51"/>
        <v>0</v>
      </c>
      <c r="BN423" s="75"/>
      <c r="BO423" s="75"/>
    </row>
    <row r="424" spans="1:67" s="70" customFormat="1" ht="32.25" customHeight="1" x14ac:dyDescent="0.3">
      <c r="A424" s="48">
        <v>113</v>
      </c>
      <c r="B424" s="42" t="s">
        <v>820</v>
      </c>
      <c r="C424" s="48" t="s">
        <v>41</v>
      </c>
      <c r="D424" s="39">
        <v>4.5</v>
      </c>
      <c r="E424" s="39"/>
      <c r="F424" s="39">
        <v>4.5</v>
      </c>
      <c r="G424" s="39">
        <v>1</v>
      </c>
      <c r="H424" s="39"/>
      <c r="I424" s="39"/>
      <c r="J424" s="39">
        <v>3.5</v>
      </c>
      <c r="K424" s="42"/>
      <c r="L424" s="42" t="s">
        <v>415</v>
      </c>
      <c r="M424" s="44">
        <v>62</v>
      </c>
      <c r="N424" s="209">
        <v>353</v>
      </c>
      <c r="O424" s="44"/>
      <c r="P424" s="84"/>
      <c r="Q424" s="84"/>
      <c r="R424" s="84"/>
      <c r="S424" s="84"/>
      <c r="T424" s="84"/>
      <c r="U424" s="84"/>
      <c r="V424" s="84"/>
      <c r="W424" s="84"/>
      <c r="X424" s="84"/>
      <c r="Y424" s="84"/>
      <c r="Z424" s="84">
        <v>1</v>
      </c>
      <c r="AA424" s="84">
        <v>1</v>
      </c>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v>1.5</v>
      </c>
      <c r="BF424" s="84"/>
      <c r="BG424" s="84"/>
      <c r="BH424" s="84"/>
      <c r="BI424" s="84"/>
      <c r="BJ424" s="78">
        <f t="shared" si="50"/>
        <v>0</v>
      </c>
      <c r="BK424" s="84" t="s">
        <v>672</v>
      </c>
      <c r="BL424" s="75"/>
      <c r="BM424" s="79">
        <f t="shared" si="51"/>
        <v>0</v>
      </c>
      <c r="BN424" s="75"/>
      <c r="BO424" s="75"/>
    </row>
    <row r="425" spans="1:67" s="4" customFormat="1" ht="31.2" x14ac:dyDescent="0.3">
      <c r="A425" s="48">
        <v>114</v>
      </c>
      <c r="B425" s="160" t="s">
        <v>699</v>
      </c>
      <c r="C425" s="96" t="s">
        <v>41</v>
      </c>
      <c r="D425" s="108">
        <v>0.01</v>
      </c>
      <c r="E425" s="108"/>
      <c r="F425" s="108">
        <v>0.01</v>
      </c>
      <c r="G425" s="108"/>
      <c r="H425" s="108"/>
      <c r="I425" s="108"/>
      <c r="J425" s="108">
        <v>0.01</v>
      </c>
      <c r="K425" s="102" t="s">
        <v>688</v>
      </c>
      <c r="L425" s="102" t="s">
        <v>688</v>
      </c>
      <c r="M425" s="44" t="s">
        <v>672</v>
      </c>
      <c r="N425" s="209">
        <v>354</v>
      </c>
      <c r="O425" s="44"/>
      <c r="P425" s="84"/>
      <c r="Q425" s="84"/>
      <c r="R425" s="84"/>
      <c r="S425" s="84"/>
      <c r="T425" s="84"/>
      <c r="U425" s="84"/>
      <c r="V425" s="84"/>
      <c r="W425" s="84"/>
      <c r="X425" s="84"/>
      <c r="Y425" s="84"/>
      <c r="Z425" s="84"/>
      <c r="AA425" s="84"/>
      <c r="AB425" s="84"/>
      <c r="AC425" s="84"/>
      <c r="AD425" s="84"/>
      <c r="AE425" s="84">
        <v>0.01</v>
      </c>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78">
        <f t="shared" si="50"/>
        <v>0</v>
      </c>
      <c r="BK425" s="84"/>
      <c r="BL425" s="44">
        <v>22</v>
      </c>
      <c r="BM425" s="79">
        <f t="shared" si="51"/>
        <v>0</v>
      </c>
      <c r="BN425" s="75"/>
      <c r="BO425" s="75"/>
    </row>
    <row r="426" spans="1:67" s="4" customFormat="1" ht="31.2" x14ac:dyDescent="0.3">
      <c r="A426" s="48">
        <v>115</v>
      </c>
      <c r="B426" s="160" t="s">
        <v>700</v>
      </c>
      <c r="C426" s="103" t="s">
        <v>41</v>
      </c>
      <c r="D426" s="104">
        <v>0.4</v>
      </c>
      <c r="E426" s="104"/>
      <c r="F426" s="104">
        <v>0.4</v>
      </c>
      <c r="G426" s="104">
        <v>0.4</v>
      </c>
      <c r="H426" s="104"/>
      <c r="I426" s="104"/>
      <c r="J426" s="104"/>
      <c r="K426" s="123" t="s">
        <v>688</v>
      </c>
      <c r="L426" s="123" t="s">
        <v>688</v>
      </c>
      <c r="M426" s="44" t="s">
        <v>672</v>
      </c>
      <c r="N426" s="209">
        <v>355</v>
      </c>
      <c r="O426" s="4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78">
        <f t="shared" si="50"/>
        <v>0</v>
      </c>
      <c r="BK426" s="84"/>
      <c r="BL426" s="44">
        <v>22</v>
      </c>
      <c r="BM426" s="79">
        <f t="shared" si="51"/>
        <v>0</v>
      </c>
      <c r="BN426" s="75"/>
      <c r="BO426" s="75"/>
    </row>
    <row r="427" spans="1:67" s="14" customFormat="1" ht="23.25" customHeight="1" x14ac:dyDescent="0.3">
      <c r="A427" s="48">
        <v>116</v>
      </c>
      <c r="B427" s="42" t="s">
        <v>717</v>
      </c>
      <c r="C427" s="43" t="s">
        <v>41</v>
      </c>
      <c r="D427" s="41">
        <v>2</v>
      </c>
      <c r="E427" s="41"/>
      <c r="F427" s="41">
        <v>2</v>
      </c>
      <c r="G427" s="41"/>
      <c r="H427" s="41">
        <v>0.5</v>
      </c>
      <c r="I427" s="41"/>
      <c r="J427" s="41">
        <v>1.5</v>
      </c>
      <c r="K427" s="42" t="s">
        <v>688</v>
      </c>
      <c r="L427" s="42" t="s">
        <v>688</v>
      </c>
      <c r="M427" s="43">
        <v>5</v>
      </c>
      <c r="N427" s="210">
        <v>356</v>
      </c>
      <c r="O427" s="43"/>
      <c r="P427" s="97">
        <v>0.5</v>
      </c>
      <c r="Q427" s="97"/>
      <c r="R427" s="97"/>
      <c r="S427" s="97"/>
      <c r="T427" s="97"/>
      <c r="U427" s="97"/>
      <c r="V427" s="97"/>
      <c r="W427" s="97"/>
      <c r="X427" s="97"/>
      <c r="Y427" s="97"/>
      <c r="Z427" s="97">
        <v>1</v>
      </c>
      <c r="AA427" s="97"/>
      <c r="AB427" s="97"/>
      <c r="AC427" s="97"/>
      <c r="AD427" s="97"/>
      <c r="AE427" s="97">
        <v>0.5</v>
      </c>
      <c r="AF427" s="97"/>
      <c r="AG427" s="100"/>
      <c r="AH427" s="97"/>
      <c r="AI427" s="97"/>
      <c r="AJ427" s="97"/>
      <c r="AK427" s="97"/>
      <c r="AL427" s="97"/>
      <c r="AM427" s="97"/>
      <c r="AN427" s="97"/>
      <c r="AO427" s="97"/>
      <c r="AP427" s="97"/>
      <c r="AQ427" s="97"/>
      <c r="AR427" s="97"/>
      <c r="AS427" s="97"/>
      <c r="AT427" s="97"/>
      <c r="AU427" s="97"/>
      <c r="AV427" s="97"/>
      <c r="AW427" s="97"/>
      <c r="AX427" s="97"/>
      <c r="AY427" s="97"/>
      <c r="AZ427" s="97"/>
      <c r="BA427" s="97"/>
      <c r="BB427" s="97"/>
      <c r="BC427" s="97"/>
      <c r="BD427" s="97"/>
      <c r="BE427" s="97"/>
      <c r="BF427" s="97"/>
      <c r="BG427" s="97"/>
      <c r="BH427" s="97"/>
      <c r="BI427" s="97"/>
      <c r="BJ427" s="78">
        <f t="shared" si="50"/>
        <v>0</v>
      </c>
      <c r="BK427" s="97"/>
      <c r="BL427" s="97">
        <v>22</v>
      </c>
      <c r="BM427" s="79">
        <f t="shared" si="51"/>
        <v>0</v>
      </c>
      <c r="BN427" s="75"/>
      <c r="BO427" s="75"/>
    </row>
    <row r="428" spans="1:67" s="4" customFormat="1" ht="49.5" customHeight="1" x14ac:dyDescent="0.3">
      <c r="A428" s="48">
        <v>117</v>
      </c>
      <c r="B428" s="42" t="s">
        <v>718</v>
      </c>
      <c r="C428" s="95" t="s">
        <v>41</v>
      </c>
      <c r="D428" s="41">
        <v>0.5</v>
      </c>
      <c r="E428" s="41"/>
      <c r="F428" s="41">
        <v>0.5</v>
      </c>
      <c r="G428" s="41"/>
      <c r="H428" s="41"/>
      <c r="I428" s="41"/>
      <c r="J428" s="41">
        <v>0.5</v>
      </c>
      <c r="K428" s="42" t="s">
        <v>847</v>
      </c>
      <c r="L428" s="42" t="s">
        <v>688</v>
      </c>
      <c r="M428" s="43">
        <v>42</v>
      </c>
      <c r="N428" s="210">
        <v>357</v>
      </c>
      <c r="O428" s="43"/>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c r="BE428" s="97">
        <v>0.5</v>
      </c>
      <c r="BF428" s="97"/>
      <c r="BG428" s="97"/>
      <c r="BH428" s="97"/>
      <c r="BI428" s="97"/>
      <c r="BJ428" s="78">
        <f t="shared" si="50"/>
        <v>0</v>
      </c>
      <c r="BK428" s="97"/>
      <c r="BL428" s="97">
        <v>22</v>
      </c>
      <c r="BM428" s="79">
        <f t="shared" si="51"/>
        <v>0</v>
      </c>
      <c r="BN428" s="75"/>
      <c r="BO428" s="75"/>
    </row>
    <row r="429" spans="1:67" s="4" customFormat="1" ht="31.2" x14ac:dyDescent="0.3">
      <c r="A429" s="48">
        <v>118</v>
      </c>
      <c r="B429" s="42" t="s">
        <v>848</v>
      </c>
      <c r="C429" s="43" t="s">
        <v>41</v>
      </c>
      <c r="D429" s="41">
        <v>2.73</v>
      </c>
      <c r="E429" s="41"/>
      <c r="F429" s="41">
        <v>2.73</v>
      </c>
      <c r="G429" s="41">
        <v>0.52</v>
      </c>
      <c r="H429" s="41"/>
      <c r="I429" s="41"/>
      <c r="J429" s="41">
        <v>2.21</v>
      </c>
      <c r="K429" s="42" t="s">
        <v>849</v>
      </c>
      <c r="L429" s="42" t="s">
        <v>688</v>
      </c>
      <c r="M429" s="49">
        <v>49</v>
      </c>
      <c r="N429" s="208">
        <v>358</v>
      </c>
      <c r="O429" s="49"/>
      <c r="P429" s="97"/>
      <c r="Q429" s="97"/>
      <c r="R429" s="97"/>
      <c r="S429" s="97"/>
      <c r="T429" s="97"/>
      <c r="U429" s="97"/>
      <c r="V429" s="97"/>
      <c r="W429" s="97"/>
      <c r="X429" s="97"/>
      <c r="Y429" s="97"/>
      <c r="Z429" s="97">
        <v>1.85</v>
      </c>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97"/>
      <c r="AY429" s="97"/>
      <c r="AZ429" s="97"/>
      <c r="BA429" s="97"/>
      <c r="BB429" s="97"/>
      <c r="BC429" s="97"/>
      <c r="BD429" s="97"/>
      <c r="BE429" s="97">
        <v>0.36</v>
      </c>
      <c r="BF429" s="97"/>
      <c r="BG429" s="97"/>
      <c r="BH429" s="97"/>
      <c r="BI429" s="97"/>
      <c r="BJ429" s="78">
        <f t="shared" si="50"/>
        <v>0</v>
      </c>
      <c r="BK429" s="97"/>
      <c r="BL429" s="97">
        <v>22</v>
      </c>
      <c r="BM429" s="79">
        <f t="shared" si="51"/>
        <v>0</v>
      </c>
      <c r="BN429" s="75"/>
      <c r="BO429" s="75"/>
    </row>
    <row r="430" spans="1:67" s="4" customFormat="1" ht="31.2" x14ac:dyDescent="0.3">
      <c r="A430" s="48">
        <v>119</v>
      </c>
      <c r="B430" s="42" t="s">
        <v>719</v>
      </c>
      <c r="C430" s="43" t="s">
        <v>41</v>
      </c>
      <c r="D430" s="41">
        <v>1.63</v>
      </c>
      <c r="E430" s="41"/>
      <c r="F430" s="41">
        <v>1.63</v>
      </c>
      <c r="G430" s="41">
        <v>1.63</v>
      </c>
      <c r="H430" s="41"/>
      <c r="I430" s="41"/>
      <c r="J430" s="41"/>
      <c r="K430" s="42" t="s">
        <v>850</v>
      </c>
      <c r="L430" s="42" t="s">
        <v>688</v>
      </c>
      <c r="M430" s="49">
        <v>50</v>
      </c>
      <c r="N430" s="208">
        <v>359</v>
      </c>
      <c r="O430" s="49"/>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c r="BG430" s="97"/>
      <c r="BH430" s="97"/>
      <c r="BI430" s="97"/>
      <c r="BJ430" s="78">
        <f t="shared" si="50"/>
        <v>0</v>
      </c>
      <c r="BK430" s="97"/>
      <c r="BL430" s="97">
        <v>22</v>
      </c>
      <c r="BM430" s="79">
        <f t="shared" si="51"/>
        <v>0</v>
      </c>
      <c r="BN430" s="75"/>
      <c r="BO430" s="75"/>
    </row>
    <row r="431" spans="1:67" s="14" customFormat="1" ht="38.25" customHeight="1" x14ac:dyDescent="0.3">
      <c r="A431" s="48">
        <v>120</v>
      </c>
      <c r="B431" s="160" t="s">
        <v>720</v>
      </c>
      <c r="C431" s="43" t="s">
        <v>41</v>
      </c>
      <c r="D431" s="41">
        <v>1.08</v>
      </c>
      <c r="E431" s="41">
        <v>0.6</v>
      </c>
      <c r="F431" s="41">
        <v>0.48</v>
      </c>
      <c r="G431" s="41">
        <v>0.3</v>
      </c>
      <c r="H431" s="41"/>
      <c r="I431" s="41"/>
      <c r="J431" s="41">
        <v>0.18</v>
      </c>
      <c r="K431" s="42" t="s">
        <v>851</v>
      </c>
      <c r="L431" s="42" t="s">
        <v>688</v>
      </c>
      <c r="M431" s="49">
        <v>54</v>
      </c>
      <c r="N431" s="208">
        <v>360</v>
      </c>
      <c r="O431" s="49"/>
      <c r="P431" s="49"/>
      <c r="Q431" s="49"/>
      <c r="R431" s="49"/>
      <c r="S431" s="49"/>
      <c r="T431" s="49"/>
      <c r="U431" s="49"/>
      <c r="V431" s="49"/>
      <c r="W431" s="49"/>
      <c r="X431" s="49"/>
      <c r="Y431" s="49"/>
      <c r="Z431" s="49">
        <v>0.18</v>
      </c>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78">
        <f t="shared" si="50"/>
        <v>0</v>
      </c>
      <c r="BK431" s="49"/>
      <c r="BL431" s="97">
        <v>22</v>
      </c>
      <c r="BM431" s="79">
        <f t="shared" si="51"/>
        <v>0</v>
      </c>
      <c r="BN431" s="75"/>
      <c r="BO431" s="75"/>
    </row>
    <row r="432" spans="1:67" s="4" customFormat="1" ht="67.5" customHeight="1" x14ac:dyDescent="0.3">
      <c r="A432" s="48">
        <v>121</v>
      </c>
      <c r="B432" s="160" t="s">
        <v>852</v>
      </c>
      <c r="C432" s="43" t="s">
        <v>41</v>
      </c>
      <c r="D432" s="41">
        <v>2.4300000000000002</v>
      </c>
      <c r="E432" s="41"/>
      <c r="F432" s="41">
        <v>2.4300000000000002</v>
      </c>
      <c r="G432" s="41"/>
      <c r="H432" s="41"/>
      <c r="I432" s="41"/>
      <c r="J432" s="41">
        <v>2.4300000000000002</v>
      </c>
      <c r="K432" s="42" t="s">
        <v>853</v>
      </c>
      <c r="L432" s="42" t="s">
        <v>688</v>
      </c>
      <c r="M432" s="49">
        <v>55</v>
      </c>
      <c r="N432" s="208">
        <v>361</v>
      </c>
      <c r="O432" s="49"/>
      <c r="P432" s="49"/>
      <c r="Q432" s="49"/>
      <c r="R432" s="49"/>
      <c r="S432" s="49"/>
      <c r="T432" s="49"/>
      <c r="U432" s="49"/>
      <c r="V432" s="49"/>
      <c r="W432" s="49"/>
      <c r="X432" s="49"/>
      <c r="Y432" s="49"/>
      <c r="Z432" s="49">
        <v>2.2000000000000002</v>
      </c>
      <c r="AA432" s="49"/>
      <c r="AB432" s="49"/>
      <c r="AC432" s="49"/>
      <c r="AD432" s="49"/>
      <c r="AE432" s="49">
        <v>0.23</v>
      </c>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78">
        <f t="shared" si="50"/>
        <v>0</v>
      </c>
      <c r="BK432" s="49" t="s">
        <v>721</v>
      </c>
      <c r="BL432" s="97">
        <v>22</v>
      </c>
      <c r="BM432" s="79">
        <f t="shared" si="51"/>
        <v>0</v>
      </c>
      <c r="BN432" s="75"/>
      <c r="BO432" s="75"/>
    </row>
    <row r="433" spans="1:67" s="4" customFormat="1" ht="31.2" x14ac:dyDescent="0.3">
      <c r="A433" s="48">
        <v>122</v>
      </c>
      <c r="B433" s="42" t="s">
        <v>740</v>
      </c>
      <c r="C433" s="43" t="s">
        <v>41</v>
      </c>
      <c r="D433" s="41">
        <v>0.28999999999999998</v>
      </c>
      <c r="E433" s="41"/>
      <c r="F433" s="41">
        <v>0.28999999999999998</v>
      </c>
      <c r="G433" s="41">
        <v>0.17</v>
      </c>
      <c r="H433" s="41"/>
      <c r="I433" s="41"/>
      <c r="J433" s="41">
        <v>0.12</v>
      </c>
      <c r="K433" s="42" t="s">
        <v>741</v>
      </c>
      <c r="L433" s="42" t="s">
        <v>688</v>
      </c>
      <c r="M433" s="43">
        <v>62</v>
      </c>
      <c r="N433" s="210">
        <v>362</v>
      </c>
      <c r="O433" s="43"/>
      <c r="P433" s="97"/>
      <c r="Q433" s="97"/>
      <c r="R433" s="97"/>
      <c r="S433" s="97"/>
      <c r="T433" s="97"/>
      <c r="U433" s="97"/>
      <c r="V433" s="97"/>
      <c r="W433" s="97"/>
      <c r="X433" s="97"/>
      <c r="Y433" s="97"/>
      <c r="Z433" s="97">
        <v>0.12</v>
      </c>
      <c r="AA433" s="97"/>
      <c r="AB433" s="97"/>
      <c r="AC433" s="97"/>
      <c r="AD433" s="97"/>
      <c r="AE433" s="97"/>
      <c r="AF433" s="97"/>
      <c r="AG433" s="97"/>
      <c r="AH433" s="97"/>
      <c r="AI433" s="97"/>
      <c r="AJ433" s="97"/>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c r="BG433" s="97"/>
      <c r="BH433" s="97"/>
      <c r="BI433" s="97"/>
      <c r="BJ433" s="78">
        <f t="shared" si="50"/>
        <v>0</v>
      </c>
      <c r="BK433" s="97" t="s">
        <v>739</v>
      </c>
      <c r="BL433" s="97">
        <v>22</v>
      </c>
      <c r="BM433" s="79">
        <f t="shared" si="51"/>
        <v>0</v>
      </c>
      <c r="BN433" s="75"/>
      <c r="BO433" s="75"/>
    </row>
    <row r="434" spans="1:67" s="4" customFormat="1" ht="31.2" x14ac:dyDescent="0.3">
      <c r="A434" s="48">
        <v>123</v>
      </c>
      <c r="B434" s="42" t="s">
        <v>743</v>
      </c>
      <c r="C434" s="43" t="s">
        <v>41</v>
      </c>
      <c r="D434" s="41">
        <v>0.51</v>
      </c>
      <c r="E434" s="41"/>
      <c r="F434" s="41">
        <v>0.51</v>
      </c>
      <c r="G434" s="41">
        <v>0.51</v>
      </c>
      <c r="H434" s="41"/>
      <c r="I434" s="41"/>
      <c r="J434" s="41"/>
      <c r="K434" s="42" t="s">
        <v>859</v>
      </c>
      <c r="L434" s="42" t="s">
        <v>688</v>
      </c>
      <c r="M434" s="43">
        <v>64</v>
      </c>
      <c r="N434" s="210">
        <v>363</v>
      </c>
      <c r="O434" s="43"/>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78">
        <f t="shared" si="50"/>
        <v>0</v>
      </c>
      <c r="BK434" s="97"/>
      <c r="BL434" s="97">
        <v>22</v>
      </c>
      <c r="BM434" s="79">
        <f t="shared" si="51"/>
        <v>0</v>
      </c>
      <c r="BN434" s="75"/>
      <c r="BO434" s="75"/>
    </row>
    <row r="435" spans="1:67" s="4" customFormat="1" ht="31.2" x14ac:dyDescent="0.3">
      <c r="A435" s="48">
        <v>124</v>
      </c>
      <c r="B435" s="42" t="s">
        <v>744</v>
      </c>
      <c r="C435" s="43" t="s">
        <v>41</v>
      </c>
      <c r="D435" s="41">
        <v>1.1000000000000001</v>
      </c>
      <c r="E435" s="41"/>
      <c r="F435" s="41">
        <v>1.1000000000000001</v>
      </c>
      <c r="G435" s="41">
        <v>0.8</v>
      </c>
      <c r="H435" s="41"/>
      <c r="I435" s="41"/>
      <c r="J435" s="41">
        <v>0.3</v>
      </c>
      <c r="K435" s="42" t="s">
        <v>1040</v>
      </c>
      <c r="L435" s="42" t="s">
        <v>688</v>
      </c>
      <c r="M435" s="43">
        <v>65</v>
      </c>
      <c r="N435" s="210">
        <v>364</v>
      </c>
      <c r="O435" s="43"/>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7"/>
      <c r="AW435" s="97"/>
      <c r="AX435" s="97"/>
      <c r="AY435" s="97"/>
      <c r="AZ435" s="97"/>
      <c r="BA435" s="97"/>
      <c r="BB435" s="97"/>
      <c r="BC435" s="97"/>
      <c r="BD435" s="97"/>
      <c r="BE435" s="97">
        <v>0.3</v>
      </c>
      <c r="BF435" s="97"/>
      <c r="BG435" s="97"/>
      <c r="BH435" s="97"/>
      <c r="BI435" s="97"/>
      <c r="BJ435" s="78">
        <f t="shared" si="50"/>
        <v>0</v>
      </c>
      <c r="BK435" s="97"/>
      <c r="BL435" s="97">
        <v>22</v>
      </c>
      <c r="BM435" s="79">
        <f t="shared" si="51"/>
        <v>0</v>
      </c>
      <c r="BN435" s="75"/>
      <c r="BO435" s="75"/>
    </row>
    <row r="436" spans="1:67" s="61" customFormat="1" ht="62.4" x14ac:dyDescent="0.3">
      <c r="A436" s="48">
        <v>125</v>
      </c>
      <c r="B436" s="42" t="s">
        <v>795</v>
      </c>
      <c r="C436" s="43" t="s">
        <v>41</v>
      </c>
      <c r="D436" s="41">
        <v>0.1</v>
      </c>
      <c r="E436" s="41"/>
      <c r="F436" s="41">
        <v>0.1</v>
      </c>
      <c r="G436" s="41"/>
      <c r="H436" s="41"/>
      <c r="I436" s="41"/>
      <c r="J436" s="41">
        <v>0.1</v>
      </c>
      <c r="K436" s="42" t="s">
        <v>390</v>
      </c>
      <c r="L436" s="42" t="s">
        <v>377</v>
      </c>
      <c r="M436" s="43" t="s">
        <v>672</v>
      </c>
      <c r="N436" s="210">
        <v>365</v>
      </c>
      <c r="O436" s="43"/>
      <c r="P436" s="97"/>
      <c r="Q436" s="97"/>
      <c r="R436" s="97"/>
      <c r="S436" s="97"/>
      <c r="T436" s="97"/>
      <c r="U436" s="97"/>
      <c r="V436" s="97"/>
      <c r="W436" s="97"/>
      <c r="X436" s="97"/>
      <c r="Y436" s="97"/>
      <c r="Z436" s="97"/>
      <c r="AA436" s="97"/>
      <c r="AB436" s="97"/>
      <c r="AC436" s="97"/>
      <c r="AD436" s="97"/>
      <c r="AE436" s="97">
        <v>0.1</v>
      </c>
      <c r="AF436" s="97"/>
      <c r="AG436" s="97"/>
      <c r="AH436" s="97"/>
      <c r="AI436" s="97"/>
      <c r="AJ436" s="97"/>
      <c r="AK436" s="97"/>
      <c r="AL436" s="97"/>
      <c r="AM436" s="97"/>
      <c r="AN436" s="97"/>
      <c r="AO436" s="97"/>
      <c r="AP436" s="97"/>
      <c r="AQ436" s="97"/>
      <c r="AR436" s="97"/>
      <c r="AS436" s="97"/>
      <c r="AT436" s="97"/>
      <c r="AU436" s="97"/>
      <c r="AV436" s="97"/>
      <c r="AW436" s="97"/>
      <c r="AX436" s="97"/>
      <c r="AY436" s="97"/>
      <c r="AZ436" s="97"/>
      <c r="BA436" s="97"/>
      <c r="BB436" s="97"/>
      <c r="BC436" s="97"/>
      <c r="BD436" s="97"/>
      <c r="BE436" s="97"/>
      <c r="BF436" s="97"/>
      <c r="BG436" s="97"/>
      <c r="BH436" s="97"/>
      <c r="BI436" s="97"/>
      <c r="BJ436" s="78">
        <f t="shared" si="50"/>
        <v>0</v>
      </c>
      <c r="BK436" s="97"/>
      <c r="BL436" s="97"/>
      <c r="BM436" s="79">
        <f t="shared" si="51"/>
        <v>0</v>
      </c>
      <c r="BN436" s="75"/>
      <c r="BO436" s="75"/>
    </row>
    <row r="437" spans="1:67" s="61" customFormat="1" ht="53.25" customHeight="1" x14ac:dyDescent="0.3">
      <c r="A437" s="48">
        <v>126</v>
      </c>
      <c r="B437" s="42" t="s">
        <v>799</v>
      </c>
      <c r="C437" s="43" t="s">
        <v>41</v>
      </c>
      <c r="D437" s="41">
        <v>1.5</v>
      </c>
      <c r="E437" s="41">
        <v>0.4</v>
      </c>
      <c r="F437" s="41">
        <v>1.1000000000000001</v>
      </c>
      <c r="G437" s="41"/>
      <c r="H437" s="41"/>
      <c r="I437" s="41"/>
      <c r="J437" s="41">
        <v>1.1000000000000001</v>
      </c>
      <c r="K437" s="42"/>
      <c r="L437" s="42" t="s">
        <v>280</v>
      </c>
      <c r="M437" s="43" t="s">
        <v>672</v>
      </c>
      <c r="N437" s="210">
        <v>366</v>
      </c>
      <c r="O437" s="43"/>
      <c r="P437" s="97"/>
      <c r="Q437" s="97"/>
      <c r="R437" s="97"/>
      <c r="S437" s="97"/>
      <c r="T437" s="97"/>
      <c r="U437" s="97"/>
      <c r="V437" s="97"/>
      <c r="W437" s="97"/>
      <c r="X437" s="97"/>
      <c r="Y437" s="97"/>
      <c r="Z437" s="97">
        <v>0.3</v>
      </c>
      <c r="AA437" s="97">
        <v>0.2</v>
      </c>
      <c r="AB437" s="97">
        <v>0.1</v>
      </c>
      <c r="AC437" s="97"/>
      <c r="AD437" s="97"/>
      <c r="AE437" s="97"/>
      <c r="AF437" s="97"/>
      <c r="AG437" s="97"/>
      <c r="AH437" s="97"/>
      <c r="AI437" s="97"/>
      <c r="AJ437" s="97"/>
      <c r="AK437" s="97"/>
      <c r="AL437" s="97"/>
      <c r="AM437" s="97"/>
      <c r="AN437" s="97"/>
      <c r="AO437" s="97"/>
      <c r="AP437" s="97"/>
      <c r="AQ437" s="97"/>
      <c r="AR437" s="97"/>
      <c r="AS437" s="97"/>
      <c r="AT437" s="97"/>
      <c r="AU437" s="97"/>
      <c r="AV437" s="97"/>
      <c r="AW437" s="97"/>
      <c r="AX437" s="97"/>
      <c r="AY437" s="97"/>
      <c r="AZ437" s="97"/>
      <c r="BA437" s="97"/>
      <c r="BB437" s="97"/>
      <c r="BC437" s="97"/>
      <c r="BD437" s="97"/>
      <c r="BE437" s="97">
        <v>0.5</v>
      </c>
      <c r="BF437" s="97"/>
      <c r="BG437" s="97"/>
      <c r="BH437" s="97"/>
      <c r="BI437" s="97"/>
      <c r="BJ437" s="78">
        <f t="shared" si="50"/>
        <v>0</v>
      </c>
      <c r="BK437" s="97"/>
      <c r="BL437" s="97"/>
      <c r="BM437" s="79">
        <f t="shared" si="51"/>
        <v>0</v>
      </c>
      <c r="BN437" s="75"/>
      <c r="BO437" s="75"/>
    </row>
    <row r="438" spans="1:67" s="4" customFormat="1" ht="31.2" x14ac:dyDescent="0.3">
      <c r="A438" s="48">
        <v>127</v>
      </c>
      <c r="B438" s="42" t="s">
        <v>745</v>
      </c>
      <c r="C438" s="43" t="s">
        <v>41</v>
      </c>
      <c r="D438" s="41">
        <v>0.64</v>
      </c>
      <c r="E438" s="41"/>
      <c r="F438" s="41">
        <v>0.64</v>
      </c>
      <c r="G438" s="41">
        <v>0.64</v>
      </c>
      <c r="H438" s="41"/>
      <c r="I438" s="41"/>
      <c r="J438" s="41"/>
      <c r="K438" s="42" t="s">
        <v>859</v>
      </c>
      <c r="L438" s="42" t="s">
        <v>688</v>
      </c>
      <c r="M438" s="43">
        <v>68</v>
      </c>
      <c r="N438" s="210">
        <v>367</v>
      </c>
      <c r="O438" s="43"/>
      <c r="P438" s="97"/>
      <c r="Q438" s="97"/>
      <c r="R438" s="97"/>
      <c r="S438" s="97"/>
      <c r="T438" s="97"/>
      <c r="U438" s="97"/>
      <c r="V438" s="97"/>
      <c r="W438" s="97"/>
      <c r="X438" s="97"/>
      <c r="Y438" s="97"/>
      <c r="Z438" s="97"/>
      <c r="AA438" s="97"/>
      <c r="AB438" s="97"/>
      <c r="AC438" s="97"/>
      <c r="AD438" s="97"/>
      <c r="AE438" s="97"/>
      <c r="AF438" s="97"/>
      <c r="AG438" s="97"/>
      <c r="AH438" s="97"/>
      <c r="AI438" s="97"/>
      <c r="AJ438" s="97"/>
      <c r="AK438" s="97"/>
      <c r="AL438" s="97"/>
      <c r="AM438" s="97"/>
      <c r="AN438" s="97"/>
      <c r="AO438" s="97"/>
      <c r="AP438" s="97"/>
      <c r="AQ438" s="97"/>
      <c r="AR438" s="97"/>
      <c r="AS438" s="97"/>
      <c r="AT438" s="97"/>
      <c r="AU438" s="97"/>
      <c r="AV438" s="97"/>
      <c r="AW438" s="97"/>
      <c r="AX438" s="97"/>
      <c r="AY438" s="97"/>
      <c r="AZ438" s="97"/>
      <c r="BA438" s="97"/>
      <c r="BB438" s="97"/>
      <c r="BC438" s="97"/>
      <c r="BD438" s="97"/>
      <c r="BE438" s="97"/>
      <c r="BF438" s="97"/>
      <c r="BG438" s="97"/>
      <c r="BH438" s="97"/>
      <c r="BI438" s="97"/>
      <c r="BJ438" s="78">
        <f t="shared" si="50"/>
        <v>0</v>
      </c>
      <c r="BK438" s="97"/>
      <c r="BL438" s="97">
        <v>22</v>
      </c>
      <c r="BM438" s="79">
        <f t="shared" si="51"/>
        <v>0</v>
      </c>
      <c r="BN438" s="75"/>
      <c r="BO438" s="75"/>
    </row>
    <row r="439" spans="1:67" s="6" customFormat="1" x14ac:dyDescent="0.3">
      <c r="A439" s="76" t="s">
        <v>623</v>
      </c>
      <c r="B439" s="77" t="s">
        <v>624</v>
      </c>
      <c r="C439" s="80" t="s">
        <v>42</v>
      </c>
      <c r="D439" s="81">
        <f>SUM(D440,D444,D448,D455:D456,D459:D471,D474:D479,D486:D492)</f>
        <v>576.1099999999999</v>
      </c>
      <c r="E439" s="81">
        <f t="shared" ref="E439:BI439" si="52">SUM(E440,E444,E448,E455:E456,E459:E471,E474:E479,E486:E492)</f>
        <v>154.21</v>
      </c>
      <c r="F439" s="81">
        <f t="shared" si="52"/>
        <v>421.90000000000003</v>
      </c>
      <c r="G439" s="81">
        <f t="shared" si="52"/>
        <v>113.79</v>
      </c>
      <c r="H439" s="81">
        <f t="shared" si="52"/>
        <v>144.76</v>
      </c>
      <c r="I439" s="81">
        <f t="shared" si="52"/>
        <v>0</v>
      </c>
      <c r="J439" s="81">
        <f t="shared" si="52"/>
        <v>163.35000000000002</v>
      </c>
      <c r="K439" s="81">
        <f t="shared" si="52"/>
        <v>0</v>
      </c>
      <c r="L439" s="81">
        <f t="shared" si="52"/>
        <v>0</v>
      </c>
      <c r="M439" s="81"/>
      <c r="N439" s="81"/>
      <c r="O439" s="81">
        <f t="shared" si="52"/>
        <v>0</v>
      </c>
      <c r="P439" s="81">
        <f t="shared" si="52"/>
        <v>144.76</v>
      </c>
      <c r="Q439" s="81">
        <f t="shared" si="52"/>
        <v>0</v>
      </c>
      <c r="R439" s="81">
        <f t="shared" si="52"/>
        <v>0</v>
      </c>
      <c r="S439" s="81">
        <f t="shared" si="52"/>
        <v>0</v>
      </c>
      <c r="T439" s="81">
        <f t="shared" si="52"/>
        <v>0</v>
      </c>
      <c r="U439" s="81">
        <f t="shared" si="52"/>
        <v>0</v>
      </c>
      <c r="V439" s="81">
        <f t="shared" si="52"/>
        <v>0</v>
      </c>
      <c r="W439" s="81">
        <f t="shared" si="52"/>
        <v>0</v>
      </c>
      <c r="X439" s="81">
        <f t="shared" si="52"/>
        <v>0.17</v>
      </c>
      <c r="Y439" s="81">
        <f t="shared" si="52"/>
        <v>0</v>
      </c>
      <c r="Z439" s="81">
        <f t="shared" si="52"/>
        <v>38.379999999999995</v>
      </c>
      <c r="AA439" s="81">
        <f t="shared" si="52"/>
        <v>0.06</v>
      </c>
      <c r="AB439" s="81">
        <f t="shared" si="52"/>
        <v>3.9</v>
      </c>
      <c r="AC439" s="81">
        <f t="shared" si="52"/>
        <v>0</v>
      </c>
      <c r="AD439" s="81">
        <f t="shared" si="52"/>
        <v>2.93</v>
      </c>
      <c r="AE439" s="81">
        <f t="shared" si="52"/>
        <v>4.0999999999999996</v>
      </c>
      <c r="AF439" s="81">
        <f t="shared" si="52"/>
        <v>0</v>
      </c>
      <c r="AG439" s="81">
        <f t="shared" si="52"/>
        <v>0</v>
      </c>
      <c r="AH439" s="81">
        <f t="shared" si="52"/>
        <v>0.06</v>
      </c>
      <c r="AI439" s="81">
        <f t="shared" si="52"/>
        <v>0</v>
      </c>
      <c r="AJ439" s="81">
        <f t="shared" si="52"/>
        <v>0</v>
      </c>
      <c r="AK439" s="81">
        <f t="shared" si="52"/>
        <v>0</v>
      </c>
      <c r="AL439" s="81">
        <f t="shared" si="52"/>
        <v>0</v>
      </c>
      <c r="AM439" s="81">
        <f t="shared" si="52"/>
        <v>0</v>
      </c>
      <c r="AN439" s="81">
        <f t="shared" si="52"/>
        <v>0</v>
      </c>
      <c r="AO439" s="81">
        <f t="shared" si="52"/>
        <v>0</v>
      </c>
      <c r="AP439" s="81">
        <f t="shared" si="52"/>
        <v>0</v>
      </c>
      <c r="AQ439" s="81">
        <f t="shared" si="52"/>
        <v>13.35</v>
      </c>
      <c r="AR439" s="81">
        <f t="shared" si="52"/>
        <v>0</v>
      </c>
      <c r="AS439" s="81">
        <f t="shared" si="52"/>
        <v>0</v>
      </c>
      <c r="AT439" s="81">
        <f t="shared" si="52"/>
        <v>0</v>
      </c>
      <c r="AU439" s="81">
        <f t="shared" si="52"/>
        <v>0</v>
      </c>
      <c r="AV439" s="81">
        <f t="shared" si="52"/>
        <v>0</v>
      </c>
      <c r="AW439" s="81">
        <f t="shared" si="52"/>
        <v>0</v>
      </c>
      <c r="AX439" s="81">
        <f t="shared" si="52"/>
        <v>0</v>
      </c>
      <c r="AY439" s="81">
        <f t="shared" si="52"/>
        <v>0</v>
      </c>
      <c r="AZ439" s="81">
        <f t="shared" si="52"/>
        <v>0</v>
      </c>
      <c r="BA439" s="81">
        <f t="shared" si="52"/>
        <v>0</v>
      </c>
      <c r="BB439" s="81">
        <f t="shared" si="52"/>
        <v>0.1</v>
      </c>
      <c r="BC439" s="81">
        <f t="shared" si="52"/>
        <v>33.4</v>
      </c>
      <c r="BD439" s="81">
        <f t="shared" si="52"/>
        <v>24.43</v>
      </c>
      <c r="BE439" s="81">
        <f t="shared" si="52"/>
        <v>49.519999999999996</v>
      </c>
      <c r="BF439" s="81">
        <f t="shared" si="52"/>
        <v>0</v>
      </c>
      <c r="BG439" s="81">
        <f t="shared" si="52"/>
        <v>0</v>
      </c>
      <c r="BH439" s="81">
        <f t="shared" si="52"/>
        <v>0</v>
      </c>
      <c r="BI439" s="81">
        <f t="shared" si="52"/>
        <v>0</v>
      </c>
      <c r="BJ439" s="83">
        <f t="shared" ref="BJ439:BK439" si="53">SUM(BJ440:BJ492)</f>
        <v>0</v>
      </c>
      <c r="BK439" s="83">
        <f t="shared" si="53"/>
        <v>0</v>
      </c>
      <c r="BL439" s="90">
        <v>23</v>
      </c>
      <c r="BM439" s="79">
        <f t="shared" si="51"/>
        <v>-7.0499999999999545</v>
      </c>
      <c r="BN439" s="88"/>
      <c r="BO439" s="88"/>
    </row>
    <row r="440" spans="1:67" s="10" customFormat="1" ht="61.5" customHeight="1" x14ac:dyDescent="0.3">
      <c r="A440" s="219">
        <v>1</v>
      </c>
      <c r="B440" s="42" t="s">
        <v>1283</v>
      </c>
      <c r="C440" s="43" t="s">
        <v>42</v>
      </c>
      <c r="D440" s="41">
        <v>47.5</v>
      </c>
      <c r="E440" s="41">
        <v>14.25</v>
      </c>
      <c r="F440" s="41">
        <v>33.25</v>
      </c>
      <c r="G440" s="41">
        <v>13.5</v>
      </c>
      <c r="H440" s="41"/>
      <c r="I440" s="41"/>
      <c r="J440" s="41">
        <v>19.75</v>
      </c>
      <c r="K440" s="42" t="s">
        <v>920</v>
      </c>
      <c r="L440" s="42" t="s">
        <v>826</v>
      </c>
      <c r="M440" s="43"/>
      <c r="N440" s="210">
        <v>368</v>
      </c>
      <c r="O440" s="43"/>
      <c r="P440" s="97"/>
      <c r="Q440" s="97"/>
      <c r="R440" s="97"/>
      <c r="S440" s="97"/>
      <c r="T440" s="97"/>
      <c r="U440" s="97"/>
      <c r="V440" s="97"/>
      <c r="W440" s="97"/>
      <c r="X440" s="97"/>
      <c r="Y440" s="97"/>
      <c r="Z440" s="97">
        <v>3.5</v>
      </c>
      <c r="AA440" s="97"/>
      <c r="AB440" s="97"/>
      <c r="AC440" s="97"/>
      <c r="AD440" s="97"/>
      <c r="AE440" s="97">
        <v>1.2</v>
      </c>
      <c r="AF440" s="97"/>
      <c r="AG440" s="97"/>
      <c r="AH440" s="97"/>
      <c r="AI440" s="97"/>
      <c r="AJ440" s="97"/>
      <c r="AK440" s="97"/>
      <c r="AL440" s="97"/>
      <c r="AM440" s="97"/>
      <c r="AN440" s="97"/>
      <c r="AO440" s="97"/>
      <c r="AP440" s="97"/>
      <c r="AQ440" s="97">
        <f>AQ441</f>
        <v>1.85</v>
      </c>
      <c r="AR440" s="97"/>
      <c r="AS440" s="97"/>
      <c r="AT440" s="97"/>
      <c r="AU440" s="97"/>
      <c r="AV440" s="97"/>
      <c r="AW440" s="97"/>
      <c r="AX440" s="97"/>
      <c r="AY440" s="97"/>
      <c r="AZ440" s="97"/>
      <c r="BA440" s="97"/>
      <c r="BB440" s="97"/>
      <c r="BC440" s="97">
        <v>9.5</v>
      </c>
      <c r="BD440" s="97"/>
      <c r="BE440" s="100">
        <v>5.5500000000000007</v>
      </c>
      <c r="BF440" s="97"/>
      <c r="BG440" s="97"/>
      <c r="BH440" s="97"/>
      <c r="BI440" s="97"/>
      <c r="BJ440" s="78">
        <f t="shared" ref="BJ440:BJ500" si="54">D440-E440-F440</f>
        <v>0</v>
      </c>
      <c r="BK440" s="97"/>
      <c r="BL440" s="97"/>
      <c r="BM440" s="79">
        <f t="shared" si="51"/>
        <v>-1.8500000000000014</v>
      </c>
      <c r="BN440" s="75" t="s">
        <v>827</v>
      </c>
      <c r="BO440" s="75"/>
    </row>
    <row r="441" spans="1:67" s="62" customFormat="1" ht="61.5" customHeight="1" x14ac:dyDescent="0.3">
      <c r="A441" s="220"/>
      <c r="B441" s="42" t="s">
        <v>1282</v>
      </c>
      <c r="C441" s="43" t="s">
        <v>42</v>
      </c>
      <c r="D441" s="41">
        <v>15.83</v>
      </c>
      <c r="E441" s="41">
        <v>4.75</v>
      </c>
      <c r="F441" s="41">
        <v>11.08</v>
      </c>
      <c r="G441" s="41">
        <v>4.5</v>
      </c>
      <c r="H441" s="41"/>
      <c r="I441" s="41"/>
      <c r="J441" s="41">
        <v>6.58</v>
      </c>
      <c r="K441" s="42"/>
      <c r="L441" s="42" t="s">
        <v>261</v>
      </c>
      <c r="M441" s="43"/>
      <c r="N441" s="43"/>
      <c r="O441" s="43"/>
      <c r="P441" s="97"/>
      <c r="Q441" s="97"/>
      <c r="R441" s="97"/>
      <c r="S441" s="97"/>
      <c r="T441" s="97"/>
      <c r="U441" s="97"/>
      <c r="V441" s="97"/>
      <c r="W441" s="97"/>
      <c r="X441" s="97"/>
      <c r="Y441" s="97"/>
      <c r="Z441" s="97">
        <v>1.1599999999999999</v>
      </c>
      <c r="AA441" s="97"/>
      <c r="AB441" s="97"/>
      <c r="AC441" s="97"/>
      <c r="AD441" s="97"/>
      <c r="AE441" s="97">
        <v>0.4</v>
      </c>
      <c r="AF441" s="97"/>
      <c r="AG441" s="97"/>
      <c r="AH441" s="97"/>
      <c r="AI441" s="97"/>
      <c r="AJ441" s="97"/>
      <c r="AK441" s="97"/>
      <c r="AL441" s="97"/>
      <c r="AM441" s="97"/>
      <c r="AN441" s="97"/>
      <c r="AO441" s="97"/>
      <c r="AP441" s="97"/>
      <c r="AQ441" s="97">
        <v>1.85</v>
      </c>
      <c r="AR441" s="97"/>
      <c r="AS441" s="97"/>
      <c r="AT441" s="97"/>
      <c r="AU441" s="97"/>
      <c r="AV441" s="97"/>
      <c r="AW441" s="97"/>
      <c r="AX441" s="97"/>
      <c r="AY441" s="97"/>
      <c r="AZ441" s="97"/>
      <c r="BA441" s="97"/>
      <c r="BB441" s="97"/>
      <c r="BC441" s="97">
        <v>3.17</v>
      </c>
      <c r="BD441" s="97"/>
      <c r="BE441" s="100"/>
      <c r="BF441" s="97"/>
      <c r="BG441" s="97"/>
      <c r="BH441" s="97"/>
      <c r="BI441" s="97"/>
      <c r="BJ441" s="78"/>
      <c r="BK441" s="97"/>
      <c r="BL441" s="97"/>
      <c r="BM441" s="79">
        <f t="shared" si="51"/>
        <v>0</v>
      </c>
      <c r="BN441" s="75"/>
      <c r="BO441" s="75"/>
    </row>
    <row r="442" spans="1:67" s="62" customFormat="1" ht="61.5" customHeight="1" x14ac:dyDescent="0.3">
      <c r="A442" s="220"/>
      <c r="B442" s="42" t="s">
        <v>1284</v>
      </c>
      <c r="C442" s="43" t="s">
        <v>42</v>
      </c>
      <c r="D442" s="41">
        <v>15.83</v>
      </c>
      <c r="E442" s="41">
        <v>4.75</v>
      </c>
      <c r="F442" s="41">
        <v>11.08</v>
      </c>
      <c r="G442" s="41">
        <v>4.5</v>
      </c>
      <c r="H442" s="41"/>
      <c r="I442" s="41"/>
      <c r="J442" s="41">
        <v>6.58</v>
      </c>
      <c r="K442" s="42"/>
      <c r="L442" s="42" t="s">
        <v>233</v>
      </c>
      <c r="M442" s="43"/>
      <c r="N442" s="43"/>
      <c r="O442" s="43"/>
      <c r="P442" s="97"/>
      <c r="Q442" s="97"/>
      <c r="R442" s="97"/>
      <c r="S442" s="97"/>
      <c r="T442" s="97"/>
      <c r="U442" s="97"/>
      <c r="V442" s="97"/>
      <c r="W442" s="97"/>
      <c r="X442" s="97"/>
      <c r="Y442" s="97"/>
      <c r="Z442" s="97">
        <v>1.1599999999999999</v>
      </c>
      <c r="AA442" s="97"/>
      <c r="AB442" s="97"/>
      <c r="AC442" s="97"/>
      <c r="AD442" s="97"/>
      <c r="AE442" s="97">
        <v>0.4</v>
      </c>
      <c r="AF442" s="97"/>
      <c r="AG442" s="97"/>
      <c r="AH442" s="97"/>
      <c r="AI442" s="97"/>
      <c r="AJ442" s="97"/>
      <c r="AK442" s="97"/>
      <c r="AL442" s="97"/>
      <c r="AM442" s="97"/>
      <c r="AN442" s="97"/>
      <c r="AO442" s="97"/>
      <c r="AP442" s="97"/>
      <c r="AQ442" s="97"/>
      <c r="AR442" s="97"/>
      <c r="AS442" s="97"/>
      <c r="AT442" s="97"/>
      <c r="AU442" s="97"/>
      <c r="AV442" s="97"/>
      <c r="AW442" s="97"/>
      <c r="AX442" s="97"/>
      <c r="AY442" s="97"/>
      <c r="AZ442" s="97"/>
      <c r="BA442" s="97"/>
      <c r="BB442" s="97"/>
      <c r="BC442" s="97">
        <v>3.17</v>
      </c>
      <c r="BD442" s="97"/>
      <c r="BE442" s="100">
        <v>1.85</v>
      </c>
      <c r="BF442" s="97"/>
      <c r="BG442" s="97"/>
      <c r="BH442" s="97"/>
      <c r="BI442" s="97"/>
      <c r="BJ442" s="78"/>
      <c r="BK442" s="97"/>
      <c r="BL442" s="97"/>
      <c r="BM442" s="79">
        <f t="shared" si="51"/>
        <v>0</v>
      </c>
      <c r="BN442" s="75"/>
      <c r="BO442" s="75"/>
    </row>
    <row r="443" spans="1:67" s="62" customFormat="1" ht="61.5" customHeight="1" x14ac:dyDescent="0.3">
      <c r="A443" s="221"/>
      <c r="B443" s="42" t="s">
        <v>1285</v>
      </c>
      <c r="C443" s="43" t="s">
        <v>42</v>
      </c>
      <c r="D443" s="41">
        <v>15.84</v>
      </c>
      <c r="E443" s="41">
        <v>4.75</v>
      </c>
      <c r="F443" s="41">
        <v>11.09</v>
      </c>
      <c r="G443" s="41">
        <v>4.5</v>
      </c>
      <c r="H443" s="41"/>
      <c r="I443" s="41"/>
      <c r="J443" s="41">
        <v>6.59</v>
      </c>
      <c r="K443" s="42"/>
      <c r="L443" s="42" t="s">
        <v>67</v>
      </c>
      <c r="M443" s="43"/>
      <c r="N443" s="43"/>
      <c r="O443" s="43"/>
      <c r="P443" s="97"/>
      <c r="Q443" s="97"/>
      <c r="R443" s="97"/>
      <c r="S443" s="97"/>
      <c r="T443" s="97"/>
      <c r="U443" s="97"/>
      <c r="V443" s="97"/>
      <c r="W443" s="97"/>
      <c r="X443" s="97"/>
      <c r="Y443" s="97"/>
      <c r="Z443" s="97">
        <v>1.18</v>
      </c>
      <c r="AA443" s="97"/>
      <c r="AB443" s="97"/>
      <c r="AC443" s="97"/>
      <c r="AD443" s="97"/>
      <c r="AE443" s="97">
        <v>0.4</v>
      </c>
      <c r="AF443" s="97"/>
      <c r="AG443" s="97"/>
      <c r="AH443" s="97"/>
      <c r="AI443" s="97"/>
      <c r="AJ443" s="97"/>
      <c r="AK443" s="97"/>
      <c r="AL443" s="97"/>
      <c r="AM443" s="97"/>
      <c r="AN443" s="97"/>
      <c r="AO443" s="97"/>
      <c r="AP443" s="97"/>
      <c r="AQ443" s="97"/>
      <c r="AR443" s="97"/>
      <c r="AS443" s="97"/>
      <c r="AT443" s="97"/>
      <c r="AU443" s="97"/>
      <c r="AV443" s="97"/>
      <c r="AW443" s="97"/>
      <c r="AX443" s="97"/>
      <c r="AY443" s="97"/>
      <c r="AZ443" s="97"/>
      <c r="BA443" s="97"/>
      <c r="BB443" s="97"/>
      <c r="BC443" s="97">
        <v>3.16</v>
      </c>
      <c r="BD443" s="97"/>
      <c r="BE443" s="100">
        <v>1.85</v>
      </c>
      <c r="BF443" s="97"/>
      <c r="BG443" s="97"/>
      <c r="BH443" s="97"/>
      <c r="BI443" s="97"/>
      <c r="BJ443" s="78"/>
      <c r="BK443" s="97"/>
      <c r="BL443" s="97"/>
      <c r="BM443" s="79">
        <f t="shared" si="51"/>
        <v>0</v>
      </c>
      <c r="BN443" s="75"/>
      <c r="BO443" s="75"/>
    </row>
    <row r="444" spans="1:67" s="10" customFormat="1" ht="61.5" customHeight="1" x14ac:dyDescent="0.3">
      <c r="A444" s="219">
        <v>2</v>
      </c>
      <c r="B444" s="42" t="s">
        <v>828</v>
      </c>
      <c r="C444" s="43" t="s">
        <v>42</v>
      </c>
      <c r="D444" s="41">
        <v>65</v>
      </c>
      <c r="E444" s="41">
        <v>26</v>
      </c>
      <c r="F444" s="41">
        <v>39</v>
      </c>
      <c r="G444" s="41">
        <v>20</v>
      </c>
      <c r="H444" s="41"/>
      <c r="I444" s="41"/>
      <c r="J444" s="41">
        <v>19</v>
      </c>
      <c r="K444" s="42" t="s">
        <v>921</v>
      </c>
      <c r="L444" s="42" t="s">
        <v>829</v>
      </c>
      <c r="M444" s="43"/>
      <c r="N444" s="210">
        <v>369</v>
      </c>
      <c r="O444" s="43"/>
      <c r="P444" s="97"/>
      <c r="Q444" s="97"/>
      <c r="R444" s="97"/>
      <c r="S444" s="97"/>
      <c r="T444" s="97"/>
      <c r="U444" s="97"/>
      <c r="V444" s="97"/>
      <c r="W444" s="97"/>
      <c r="X444" s="97"/>
      <c r="Y444" s="97"/>
      <c r="Z444" s="97">
        <v>3</v>
      </c>
      <c r="AA444" s="97"/>
      <c r="AB444" s="97"/>
      <c r="AC444" s="97"/>
      <c r="AD444" s="97"/>
      <c r="AE444" s="97">
        <v>1</v>
      </c>
      <c r="AF444" s="97"/>
      <c r="AG444" s="97"/>
      <c r="AH444" s="97"/>
      <c r="AI444" s="97"/>
      <c r="AJ444" s="97"/>
      <c r="AK444" s="97"/>
      <c r="AL444" s="97"/>
      <c r="AM444" s="97"/>
      <c r="AN444" s="97"/>
      <c r="AO444" s="97"/>
      <c r="AP444" s="97"/>
      <c r="AQ444" s="97">
        <f>AQ445+AQ446</f>
        <v>5.4</v>
      </c>
      <c r="AR444" s="97"/>
      <c r="AS444" s="97"/>
      <c r="AT444" s="97"/>
      <c r="AU444" s="97"/>
      <c r="AV444" s="97"/>
      <c r="AW444" s="97"/>
      <c r="AX444" s="97"/>
      <c r="AY444" s="97"/>
      <c r="AZ444" s="97"/>
      <c r="BA444" s="97"/>
      <c r="BB444" s="97"/>
      <c r="BC444" s="97">
        <v>7</v>
      </c>
      <c r="BD444" s="97"/>
      <c r="BE444" s="100">
        <v>8</v>
      </c>
      <c r="BF444" s="97"/>
      <c r="BG444" s="97"/>
      <c r="BH444" s="97"/>
      <c r="BI444" s="97"/>
      <c r="BJ444" s="78">
        <f t="shared" si="54"/>
        <v>0</v>
      </c>
      <c r="BK444" s="97"/>
      <c r="BL444" s="97"/>
      <c r="BM444" s="79">
        <f t="shared" si="51"/>
        <v>-5.3999999999999986</v>
      </c>
      <c r="BN444" s="75" t="s">
        <v>827</v>
      </c>
      <c r="BO444" s="75"/>
    </row>
    <row r="445" spans="1:67" s="62" customFormat="1" ht="61.5" customHeight="1" x14ac:dyDescent="0.3">
      <c r="A445" s="220"/>
      <c r="B445" s="42" t="s">
        <v>1286</v>
      </c>
      <c r="C445" s="43" t="s">
        <v>42</v>
      </c>
      <c r="D445" s="41">
        <v>21.67</v>
      </c>
      <c r="E445" s="41">
        <v>8.67</v>
      </c>
      <c r="F445" s="41">
        <v>13</v>
      </c>
      <c r="G445" s="41">
        <v>6.67</v>
      </c>
      <c r="H445" s="41"/>
      <c r="I445" s="41"/>
      <c r="J445" s="41">
        <v>6.33</v>
      </c>
      <c r="K445" s="42"/>
      <c r="L445" s="42" t="s">
        <v>285</v>
      </c>
      <c r="M445" s="43"/>
      <c r="N445" s="43"/>
      <c r="O445" s="43"/>
      <c r="P445" s="97"/>
      <c r="Q445" s="97"/>
      <c r="R445" s="97"/>
      <c r="S445" s="97"/>
      <c r="T445" s="97"/>
      <c r="U445" s="97"/>
      <c r="V445" s="97"/>
      <c r="W445" s="97"/>
      <c r="X445" s="97"/>
      <c r="Y445" s="97"/>
      <c r="Z445" s="97">
        <v>1</v>
      </c>
      <c r="AA445" s="97"/>
      <c r="AB445" s="97"/>
      <c r="AC445" s="97"/>
      <c r="AD445" s="97"/>
      <c r="AE445" s="97">
        <v>0.3</v>
      </c>
      <c r="AF445" s="97"/>
      <c r="AG445" s="97"/>
      <c r="AH445" s="97"/>
      <c r="AI445" s="97"/>
      <c r="AJ445" s="97"/>
      <c r="AK445" s="97"/>
      <c r="AL445" s="97"/>
      <c r="AM445" s="97"/>
      <c r="AN445" s="97"/>
      <c r="AO445" s="97"/>
      <c r="AP445" s="97"/>
      <c r="AQ445" s="97">
        <v>2.7</v>
      </c>
      <c r="AR445" s="97"/>
      <c r="AS445" s="97"/>
      <c r="AT445" s="97"/>
      <c r="AU445" s="97"/>
      <c r="AV445" s="97"/>
      <c r="AW445" s="97"/>
      <c r="AX445" s="97"/>
      <c r="AY445" s="97"/>
      <c r="AZ445" s="97"/>
      <c r="BA445" s="97"/>
      <c r="BB445" s="97"/>
      <c r="BC445" s="97">
        <v>2.33</v>
      </c>
      <c r="BD445" s="97"/>
      <c r="BE445" s="100"/>
      <c r="BF445" s="97"/>
      <c r="BG445" s="97"/>
      <c r="BH445" s="97"/>
      <c r="BI445" s="97"/>
      <c r="BJ445" s="78"/>
      <c r="BK445" s="97"/>
      <c r="BL445" s="97"/>
      <c r="BM445" s="79">
        <f t="shared" si="51"/>
        <v>0</v>
      </c>
      <c r="BN445" s="75"/>
      <c r="BO445" s="75"/>
    </row>
    <row r="446" spans="1:67" s="62" customFormat="1" ht="61.5" customHeight="1" x14ac:dyDescent="0.3">
      <c r="A446" s="220"/>
      <c r="B446" s="42" t="s">
        <v>1287</v>
      </c>
      <c r="C446" s="43" t="s">
        <v>42</v>
      </c>
      <c r="D446" s="41">
        <v>21.67</v>
      </c>
      <c r="E446" s="41">
        <v>8.67</v>
      </c>
      <c r="F446" s="41">
        <v>13</v>
      </c>
      <c r="G446" s="41">
        <v>6.67</v>
      </c>
      <c r="H446" s="41"/>
      <c r="I446" s="41"/>
      <c r="J446" s="41">
        <v>6.33</v>
      </c>
      <c r="K446" s="42"/>
      <c r="L446" s="42" t="s">
        <v>261</v>
      </c>
      <c r="M446" s="43"/>
      <c r="N446" s="43"/>
      <c r="O446" s="43"/>
      <c r="P446" s="97"/>
      <c r="Q446" s="97"/>
      <c r="R446" s="97"/>
      <c r="S446" s="97"/>
      <c r="T446" s="97"/>
      <c r="U446" s="97"/>
      <c r="V446" s="97"/>
      <c r="W446" s="97"/>
      <c r="X446" s="97"/>
      <c r="Y446" s="97"/>
      <c r="Z446" s="97">
        <v>1</v>
      </c>
      <c r="AA446" s="97"/>
      <c r="AB446" s="97"/>
      <c r="AC446" s="97"/>
      <c r="AD446" s="97"/>
      <c r="AE446" s="97">
        <v>0.3</v>
      </c>
      <c r="AF446" s="97"/>
      <c r="AG446" s="97"/>
      <c r="AH446" s="97"/>
      <c r="AI446" s="97"/>
      <c r="AJ446" s="97"/>
      <c r="AK446" s="97"/>
      <c r="AL446" s="97"/>
      <c r="AM446" s="97"/>
      <c r="AN446" s="97"/>
      <c r="AO446" s="97"/>
      <c r="AP446" s="97"/>
      <c r="AQ446" s="97">
        <v>2.7</v>
      </c>
      <c r="AR446" s="97"/>
      <c r="AS446" s="97"/>
      <c r="AT446" s="97"/>
      <c r="AU446" s="97"/>
      <c r="AV446" s="97"/>
      <c r="AW446" s="97"/>
      <c r="AX446" s="97"/>
      <c r="AY446" s="97"/>
      <c r="AZ446" s="97"/>
      <c r="BA446" s="97"/>
      <c r="BB446" s="97"/>
      <c r="BC446" s="97">
        <v>2.33</v>
      </c>
      <c r="BD446" s="97"/>
      <c r="BE446" s="100"/>
      <c r="BF446" s="97"/>
      <c r="BG446" s="97"/>
      <c r="BH446" s="97"/>
      <c r="BI446" s="97"/>
      <c r="BJ446" s="78"/>
      <c r="BK446" s="97"/>
      <c r="BL446" s="97"/>
      <c r="BM446" s="79">
        <f t="shared" si="51"/>
        <v>0</v>
      </c>
      <c r="BN446" s="75"/>
      <c r="BO446" s="75"/>
    </row>
    <row r="447" spans="1:67" s="62" customFormat="1" ht="61.5" customHeight="1" x14ac:dyDescent="0.3">
      <c r="A447" s="221"/>
      <c r="B447" s="42" t="s">
        <v>1288</v>
      </c>
      <c r="C447" s="43" t="s">
        <v>42</v>
      </c>
      <c r="D447" s="41">
        <v>21.66</v>
      </c>
      <c r="E447" s="41">
        <v>8.66</v>
      </c>
      <c r="F447" s="41">
        <v>13</v>
      </c>
      <c r="G447" s="41">
        <v>6.66</v>
      </c>
      <c r="H447" s="41"/>
      <c r="I447" s="41"/>
      <c r="J447" s="41">
        <v>6.34</v>
      </c>
      <c r="K447" s="42"/>
      <c r="L447" s="42" t="s">
        <v>67</v>
      </c>
      <c r="M447" s="43"/>
      <c r="N447" s="43"/>
      <c r="O447" s="43"/>
      <c r="P447" s="97"/>
      <c r="Q447" s="97"/>
      <c r="R447" s="97"/>
      <c r="S447" s="97"/>
      <c r="T447" s="97"/>
      <c r="U447" s="97"/>
      <c r="V447" s="97"/>
      <c r="W447" s="97"/>
      <c r="X447" s="97"/>
      <c r="Y447" s="97"/>
      <c r="Z447" s="97">
        <v>1</v>
      </c>
      <c r="AA447" s="97"/>
      <c r="AB447" s="97"/>
      <c r="AC447" s="97"/>
      <c r="AD447" s="97"/>
      <c r="AE447" s="97">
        <v>0.4</v>
      </c>
      <c r="AF447" s="97"/>
      <c r="AG447" s="97"/>
      <c r="AH447" s="97"/>
      <c r="AI447" s="97"/>
      <c r="AJ447" s="97"/>
      <c r="AK447" s="97"/>
      <c r="AL447" s="97"/>
      <c r="AM447" s="97"/>
      <c r="AN447" s="97"/>
      <c r="AO447" s="97"/>
      <c r="AP447" s="97"/>
      <c r="AQ447" s="97"/>
      <c r="AR447" s="97"/>
      <c r="AS447" s="97"/>
      <c r="AT447" s="97"/>
      <c r="AU447" s="97"/>
      <c r="AV447" s="97"/>
      <c r="AW447" s="97"/>
      <c r="AX447" s="97"/>
      <c r="AY447" s="97"/>
      <c r="AZ447" s="97"/>
      <c r="BA447" s="97"/>
      <c r="BB447" s="97"/>
      <c r="BC447" s="97">
        <v>2.34</v>
      </c>
      <c r="BD447" s="97"/>
      <c r="BE447" s="100">
        <v>2.6</v>
      </c>
      <c r="BF447" s="97"/>
      <c r="BG447" s="97"/>
      <c r="BH447" s="97"/>
      <c r="BI447" s="97"/>
      <c r="BJ447" s="78"/>
      <c r="BK447" s="97"/>
      <c r="BL447" s="97"/>
      <c r="BM447" s="79">
        <f t="shared" si="51"/>
        <v>0</v>
      </c>
      <c r="BN447" s="75"/>
      <c r="BO447" s="75"/>
    </row>
    <row r="448" spans="1:67" s="10" customFormat="1" ht="93" customHeight="1" x14ac:dyDescent="0.3">
      <c r="A448" s="219">
        <v>3</v>
      </c>
      <c r="B448" s="42" t="s">
        <v>830</v>
      </c>
      <c r="C448" s="43" t="s">
        <v>42</v>
      </c>
      <c r="D448" s="41">
        <v>51.75</v>
      </c>
      <c r="E448" s="41">
        <v>28.75</v>
      </c>
      <c r="F448" s="41">
        <v>23</v>
      </c>
      <c r="G448" s="41">
        <v>7.5</v>
      </c>
      <c r="H448" s="41"/>
      <c r="I448" s="41"/>
      <c r="J448" s="41">
        <v>15.5</v>
      </c>
      <c r="K448" s="42" t="s">
        <v>831</v>
      </c>
      <c r="L448" s="42" t="s">
        <v>831</v>
      </c>
      <c r="M448" s="43"/>
      <c r="N448" s="210">
        <v>370</v>
      </c>
      <c r="O448" s="43"/>
      <c r="P448" s="97"/>
      <c r="Q448" s="97"/>
      <c r="R448" s="97"/>
      <c r="S448" s="97"/>
      <c r="T448" s="97"/>
      <c r="U448" s="97"/>
      <c r="V448" s="97"/>
      <c r="W448" s="97"/>
      <c r="X448" s="97"/>
      <c r="Y448" s="97"/>
      <c r="Z448" s="109">
        <v>2.2999999999999998</v>
      </c>
      <c r="AA448" s="97"/>
      <c r="AB448" s="97"/>
      <c r="AC448" s="97"/>
      <c r="AD448" s="97"/>
      <c r="AE448" s="109">
        <v>0.9</v>
      </c>
      <c r="AF448" s="97"/>
      <c r="AG448" s="97"/>
      <c r="AH448" s="97"/>
      <c r="AI448" s="97"/>
      <c r="AJ448" s="97"/>
      <c r="AK448" s="97"/>
      <c r="AL448" s="97"/>
      <c r="AM448" s="97"/>
      <c r="AN448" s="97"/>
      <c r="AO448" s="97"/>
      <c r="AP448" s="97"/>
      <c r="AQ448" s="97">
        <f>AQ452</f>
        <v>0.99</v>
      </c>
      <c r="AR448" s="97"/>
      <c r="AS448" s="97"/>
      <c r="AT448" s="97"/>
      <c r="AU448" s="97"/>
      <c r="AV448" s="97"/>
      <c r="AW448" s="97"/>
      <c r="AX448" s="97"/>
      <c r="AY448" s="97"/>
      <c r="AZ448" s="97"/>
      <c r="BA448" s="97"/>
      <c r="BB448" s="97"/>
      <c r="BC448" s="109">
        <v>6.3</v>
      </c>
      <c r="BD448" s="97"/>
      <c r="BE448" s="100">
        <v>5.9999999999999991</v>
      </c>
      <c r="BF448" s="97"/>
      <c r="BG448" s="97"/>
      <c r="BH448" s="97"/>
      <c r="BI448" s="97"/>
      <c r="BJ448" s="78">
        <f t="shared" si="54"/>
        <v>0</v>
      </c>
      <c r="BK448" s="97"/>
      <c r="BL448" s="97"/>
      <c r="BM448" s="79">
        <f t="shared" si="51"/>
        <v>-0.98999999999999844</v>
      </c>
      <c r="BN448" s="75" t="s">
        <v>827</v>
      </c>
      <c r="BO448" s="75"/>
    </row>
    <row r="449" spans="1:67" s="62" customFormat="1" ht="93" customHeight="1" x14ac:dyDescent="0.3">
      <c r="A449" s="220"/>
      <c r="B449" s="42" t="s">
        <v>1289</v>
      </c>
      <c r="C449" s="43" t="s">
        <v>42</v>
      </c>
      <c r="D449" s="41">
        <v>8.65</v>
      </c>
      <c r="E449" s="41">
        <v>4.8</v>
      </c>
      <c r="F449" s="41">
        <v>3.85</v>
      </c>
      <c r="G449" s="41">
        <v>1.25</v>
      </c>
      <c r="H449" s="41"/>
      <c r="I449" s="41"/>
      <c r="J449" s="41">
        <f>F449-G449</f>
        <v>2.6</v>
      </c>
      <c r="K449" s="42"/>
      <c r="L449" s="42" t="s">
        <v>347</v>
      </c>
      <c r="M449" s="43"/>
      <c r="N449" s="43"/>
      <c r="O449" s="43"/>
      <c r="P449" s="97"/>
      <c r="Q449" s="97"/>
      <c r="R449" s="97"/>
      <c r="S449" s="97"/>
      <c r="T449" s="97"/>
      <c r="U449" s="97"/>
      <c r="V449" s="97"/>
      <c r="W449" s="97"/>
      <c r="X449" s="97"/>
      <c r="Y449" s="97"/>
      <c r="Z449" s="109">
        <v>0.4</v>
      </c>
      <c r="AA449" s="97"/>
      <c r="AB449" s="97"/>
      <c r="AC449" s="97"/>
      <c r="AD449" s="97"/>
      <c r="AE449" s="39">
        <v>0.15</v>
      </c>
      <c r="AF449" s="97"/>
      <c r="AG449" s="97"/>
      <c r="AH449" s="97"/>
      <c r="AI449" s="97"/>
      <c r="AJ449" s="97"/>
      <c r="AK449" s="97"/>
      <c r="AL449" s="97"/>
      <c r="AM449" s="97"/>
      <c r="AN449" s="97"/>
      <c r="AO449" s="97"/>
      <c r="AP449" s="97"/>
      <c r="AQ449" s="97"/>
      <c r="AR449" s="97"/>
      <c r="AS449" s="97"/>
      <c r="AT449" s="97"/>
      <c r="AU449" s="97"/>
      <c r="AV449" s="97"/>
      <c r="AW449" s="97"/>
      <c r="AX449" s="97"/>
      <c r="AY449" s="97"/>
      <c r="AZ449" s="97"/>
      <c r="BA449" s="97"/>
      <c r="BB449" s="97"/>
      <c r="BC449" s="39">
        <v>1.05</v>
      </c>
      <c r="BD449" s="97"/>
      <c r="BE449" s="100">
        <v>1</v>
      </c>
      <c r="BF449" s="97"/>
      <c r="BG449" s="97"/>
      <c r="BH449" s="97"/>
      <c r="BI449" s="97"/>
      <c r="BJ449" s="78"/>
      <c r="BK449" s="97"/>
      <c r="BL449" s="97"/>
      <c r="BM449" s="79">
        <f>J449-SUM(V449:BH449)</f>
        <v>0</v>
      </c>
      <c r="BN449" s="75"/>
      <c r="BO449" s="75"/>
    </row>
    <row r="450" spans="1:67" s="62" customFormat="1" ht="93" customHeight="1" x14ac:dyDescent="0.3">
      <c r="A450" s="220"/>
      <c r="B450" s="42" t="s">
        <v>1290</v>
      </c>
      <c r="C450" s="43" t="s">
        <v>42</v>
      </c>
      <c r="D450" s="41">
        <v>8.61</v>
      </c>
      <c r="E450" s="41">
        <v>4.79</v>
      </c>
      <c r="F450" s="41">
        <v>3.82</v>
      </c>
      <c r="G450" s="41">
        <v>1.25</v>
      </c>
      <c r="H450" s="41"/>
      <c r="I450" s="41"/>
      <c r="J450" s="41">
        <f t="shared" ref="J450:J454" si="55">F450-G450</f>
        <v>2.57</v>
      </c>
      <c r="K450" s="42"/>
      <c r="L450" s="42" t="s">
        <v>93</v>
      </c>
      <c r="M450" s="43"/>
      <c r="N450" s="43"/>
      <c r="O450" s="43"/>
      <c r="P450" s="97"/>
      <c r="Q450" s="97"/>
      <c r="R450" s="97"/>
      <c r="S450" s="97"/>
      <c r="T450" s="97"/>
      <c r="U450" s="97"/>
      <c r="V450" s="97"/>
      <c r="W450" s="97"/>
      <c r="X450" s="97"/>
      <c r="Y450" s="97"/>
      <c r="Z450" s="109">
        <v>0.4</v>
      </c>
      <c r="AA450" s="97"/>
      <c r="AB450" s="97"/>
      <c r="AC450" s="97"/>
      <c r="AD450" s="97"/>
      <c r="AE450" s="39">
        <v>0.15</v>
      </c>
      <c r="AF450" s="97"/>
      <c r="AG450" s="97"/>
      <c r="AH450" s="97"/>
      <c r="AI450" s="97"/>
      <c r="AJ450" s="97"/>
      <c r="AK450" s="97"/>
      <c r="AL450" s="97"/>
      <c r="AM450" s="97"/>
      <c r="AN450" s="97"/>
      <c r="AO450" s="97"/>
      <c r="AP450" s="97"/>
      <c r="AQ450" s="97"/>
      <c r="AR450" s="97"/>
      <c r="AS450" s="97"/>
      <c r="AT450" s="97"/>
      <c r="AU450" s="97"/>
      <c r="AV450" s="97"/>
      <c r="AW450" s="97"/>
      <c r="AX450" s="97"/>
      <c r="AY450" s="97"/>
      <c r="AZ450" s="97"/>
      <c r="BA450" s="97"/>
      <c r="BB450" s="97"/>
      <c r="BC450" s="39">
        <v>1.05</v>
      </c>
      <c r="BD450" s="97"/>
      <c r="BE450" s="100">
        <v>0.97</v>
      </c>
      <c r="BF450" s="97"/>
      <c r="BG450" s="97"/>
      <c r="BH450" s="97"/>
      <c r="BI450" s="97"/>
      <c r="BJ450" s="78"/>
      <c r="BK450" s="97"/>
      <c r="BL450" s="97"/>
      <c r="BM450" s="79">
        <f t="shared" si="51"/>
        <v>0</v>
      </c>
      <c r="BN450" s="75"/>
      <c r="BO450" s="75"/>
    </row>
    <row r="451" spans="1:67" s="62" customFormat="1" ht="93" customHeight="1" x14ac:dyDescent="0.3">
      <c r="A451" s="220"/>
      <c r="B451" s="42" t="s">
        <v>1291</v>
      </c>
      <c r="C451" s="43" t="s">
        <v>42</v>
      </c>
      <c r="D451" s="41">
        <v>8.6199999999999992</v>
      </c>
      <c r="E451" s="41">
        <v>4.79</v>
      </c>
      <c r="F451" s="41">
        <v>3.8299999999999992</v>
      </c>
      <c r="G451" s="41">
        <v>1.25</v>
      </c>
      <c r="H451" s="41"/>
      <c r="I451" s="41"/>
      <c r="J451" s="41">
        <f t="shared" si="55"/>
        <v>2.5799999999999992</v>
      </c>
      <c r="K451" s="42"/>
      <c r="L451" s="42" t="s">
        <v>280</v>
      </c>
      <c r="M451" s="43"/>
      <c r="N451" s="43"/>
      <c r="O451" s="43"/>
      <c r="P451" s="97"/>
      <c r="Q451" s="97"/>
      <c r="R451" s="97"/>
      <c r="S451" s="97"/>
      <c r="T451" s="97"/>
      <c r="U451" s="97"/>
      <c r="V451" s="97"/>
      <c r="W451" s="97"/>
      <c r="X451" s="97"/>
      <c r="Y451" s="97"/>
      <c r="Z451" s="109">
        <v>0.4</v>
      </c>
      <c r="AA451" s="97"/>
      <c r="AB451" s="97"/>
      <c r="AC451" s="97"/>
      <c r="AD451" s="97"/>
      <c r="AE451" s="39">
        <v>0.15</v>
      </c>
      <c r="AF451" s="97"/>
      <c r="AG451" s="97"/>
      <c r="AH451" s="97"/>
      <c r="AI451" s="97"/>
      <c r="AJ451" s="97"/>
      <c r="AK451" s="97"/>
      <c r="AL451" s="97"/>
      <c r="AM451" s="97"/>
      <c r="AN451" s="97"/>
      <c r="AO451" s="97"/>
      <c r="AP451" s="97"/>
      <c r="AQ451" s="97"/>
      <c r="AR451" s="97"/>
      <c r="AS451" s="97"/>
      <c r="AT451" s="97"/>
      <c r="AU451" s="97"/>
      <c r="AV451" s="97"/>
      <c r="AW451" s="97"/>
      <c r="AX451" s="97"/>
      <c r="AY451" s="97"/>
      <c r="AZ451" s="97"/>
      <c r="BA451" s="97"/>
      <c r="BB451" s="97"/>
      <c r="BC451" s="39"/>
      <c r="BD451" s="97"/>
      <c r="BE451" s="100">
        <v>2.0299999999999998</v>
      </c>
      <c r="BF451" s="97"/>
      <c r="BG451" s="97"/>
      <c r="BH451" s="97"/>
      <c r="BI451" s="97"/>
      <c r="BJ451" s="78"/>
      <c r="BK451" s="97"/>
      <c r="BL451" s="97"/>
      <c r="BM451" s="79">
        <f t="shared" si="51"/>
        <v>0</v>
      </c>
      <c r="BN451" s="75"/>
      <c r="BO451" s="75"/>
    </row>
    <row r="452" spans="1:67" s="62" customFormat="1" ht="93" customHeight="1" x14ac:dyDescent="0.3">
      <c r="A452" s="220"/>
      <c r="B452" s="42" t="s">
        <v>1292</v>
      </c>
      <c r="C452" s="43" t="s">
        <v>42</v>
      </c>
      <c r="D452" s="41">
        <v>8.6300000000000008</v>
      </c>
      <c r="E452" s="41">
        <v>4.79</v>
      </c>
      <c r="F452" s="41">
        <v>3.8400000000000007</v>
      </c>
      <c r="G452" s="41">
        <v>1.25</v>
      </c>
      <c r="H452" s="41"/>
      <c r="I452" s="41"/>
      <c r="J452" s="41">
        <f t="shared" si="55"/>
        <v>2.5900000000000007</v>
      </c>
      <c r="K452" s="42"/>
      <c r="L452" s="42" t="s">
        <v>90</v>
      </c>
      <c r="M452" s="43"/>
      <c r="N452" s="43"/>
      <c r="O452" s="43"/>
      <c r="P452" s="97"/>
      <c r="Q452" s="97"/>
      <c r="R452" s="97"/>
      <c r="S452" s="97"/>
      <c r="T452" s="97"/>
      <c r="U452" s="97"/>
      <c r="V452" s="97"/>
      <c r="W452" s="97"/>
      <c r="X452" s="97"/>
      <c r="Y452" s="97"/>
      <c r="Z452" s="109">
        <v>0.4</v>
      </c>
      <c r="AA452" s="97"/>
      <c r="AB452" s="97"/>
      <c r="AC452" s="97"/>
      <c r="AD452" s="97"/>
      <c r="AE452" s="39">
        <v>0.15</v>
      </c>
      <c r="AF452" s="97"/>
      <c r="AG452" s="97"/>
      <c r="AH452" s="97"/>
      <c r="AI452" s="97"/>
      <c r="AJ452" s="97"/>
      <c r="AK452" s="97"/>
      <c r="AL452" s="97"/>
      <c r="AM452" s="97"/>
      <c r="AN452" s="97"/>
      <c r="AO452" s="97"/>
      <c r="AP452" s="97"/>
      <c r="AQ452" s="97">
        <v>0.99</v>
      </c>
      <c r="AR452" s="97"/>
      <c r="AS452" s="97"/>
      <c r="AT452" s="97"/>
      <c r="AU452" s="97"/>
      <c r="AV452" s="97"/>
      <c r="AW452" s="97"/>
      <c r="AX452" s="97"/>
      <c r="AY452" s="97"/>
      <c r="AZ452" s="97"/>
      <c r="BA452" s="97"/>
      <c r="BB452" s="97"/>
      <c r="BC452" s="39">
        <v>1.05</v>
      </c>
      <c r="BD452" s="97"/>
      <c r="BE452" s="100"/>
      <c r="BF452" s="97"/>
      <c r="BG452" s="97"/>
      <c r="BH452" s="97"/>
      <c r="BI452" s="97"/>
      <c r="BJ452" s="78"/>
      <c r="BK452" s="97"/>
      <c r="BL452" s="97"/>
      <c r="BM452" s="79">
        <f t="shared" si="51"/>
        <v>0</v>
      </c>
      <c r="BN452" s="75"/>
      <c r="BO452" s="75"/>
    </row>
    <row r="453" spans="1:67" s="62" customFormat="1" ht="93" customHeight="1" x14ac:dyDescent="0.3">
      <c r="A453" s="220"/>
      <c r="B453" s="42" t="s">
        <v>1293</v>
      </c>
      <c r="C453" s="43" t="s">
        <v>42</v>
      </c>
      <c r="D453" s="41">
        <v>8.620000000000001</v>
      </c>
      <c r="E453" s="41">
        <v>4.79</v>
      </c>
      <c r="F453" s="41">
        <v>3.83</v>
      </c>
      <c r="G453" s="41">
        <v>1.25</v>
      </c>
      <c r="H453" s="41"/>
      <c r="I453" s="41"/>
      <c r="J453" s="41">
        <f t="shared" si="55"/>
        <v>2.58</v>
      </c>
      <c r="K453" s="42"/>
      <c r="L453" s="42" t="s">
        <v>81</v>
      </c>
      <c r="M453" s="43"/>
      <c r="N453" s="43"/>
      <c r="O453" s="43"/>
      <c r="P453" s="97"/>
      <c r="Q453" s="97"/>
      <c r="R453" s="97"/>
      <c r="S453" s="97"/>
      <c r="T453" s="97"/>
      <c r="U453" s="97"/>
      <c r="V453" s="97"/>
      <c r="W453" s="97"/>
      <c r="X453" s="97"/>
      <c r="Y453" s="97"/>
      <c r="Z453" s="109">
        <v>0.4</v>
      </c>
      <c r="AA453" s="97"/>
      <c r="AB453" s="97"/>
      <c r="AC453" s="97"/>
      <c r="AD453" s="97"/>
      <c r="AE453" s="39">
        <v>0.15</v>
      </c>
      <c r="AF453" s="97"/>
      <c r="AG453" s="97"/>
      <c r="AH453" s="97"/>
      <c r="AI453" s="97"/>
      <c r="AJ453" s="97"/>
      <c r="AK453" s="97"/>
      <c r="AL453" s="97"/>
      <c r="AM453" s="97"/>
      <c r="AN453" s="97"/>
      <c r="AO453" s="97"/>
      <c r="AP453" s="97"/>
      <c r="AQ453" s="97"/>
      <c r="AR453" s="97"/>
      <c r="AS453" s="97"/>
      <c r="AT453" s="97"/>
      <c r="AU453" s="97"/>
      <c r="AV453" s="97"/>
      <c r="AW453" s="97"/>
      <c r="AX453" s="97"/>
      <c r="AY453" s="97"/>
      <c r="AZ453" s="97"/>
      <c r="BA453" s="97"/>
      <c r="BB453" s="97"/>
      <c r="BC453" s="39">
        <v>2.0299999999999998</v>
      </c>
      <c r="BD453" s="97"/>
      <c r="BE453" s="100"/>
      <c r="BF453" s="97"/>
      <c r="BG453" s="97"/>
      <c r="BH453" s="97"/>
      <c r="BI453" s="97"/>
      <c r="BJ453" s="78"/>
      <c r="BK453" s="97"/>
      <c r="BL453" s="97"/>
      <c r="BM453" s="79">
        <f t="shared" si="51"/>
        <v>0</v>
      </c>
      <c r="BN453" s="75"/>
      <c r="BO453" s="75"/>
    </row>
    <row r="454" spans="1:67" s="62" customFormat="1" ht="93" customHeight="1" x14ac:dyDescent="0.3">
      <c r="A454" s="221"/>
      <c r="B454" s="42" t="s">
        <v>1294</v>
      </c>
      <c r="C454" s="43" t="s">
        <v>42</v>
      </c>
      <c r="D454" s="41">
        <v>8.620000000000001</v>
      </c>
      <c r="E454" s="41">
        <v>4.79</v>
      </c>
      <c r="F454" s="41">
        <v>3.83</v>
      </c>
      <c r="G454" s="41">
        <v>1.25</v>
      </c>
      <c r="H454" s="41"/>
      <c r="I454" s="41"/>
      <c r="J454" s="41">
        <f t="shared" si="55"/>
        <v>2.58</v>
      </c>
      <c r="K454" s="42"/>
      <c r="L454" s="42" t="s">
        <v>364</v>
      </c>
      <c r="M454" s="43"/>
      <c r="N454" s="43"/>
      <c r="O454" s="43"/>
      <c r="P454" s="97"/>
      <c r="Q454" s="97"/>
      <c r="R454" s="97"/>
      <c r="S454" s="97"/>
      <c r="T454" s="97"/>
      <c r="U454" s="97"/>
      <c r="V454" s="97"/>
      <c r="W454" s="97"/>
      <c r="X454" s="97"/>
      <c r="Y454" s="97"/>
      <c r="Z454" s="109">
        <v>0.3</v>
      </c>
      <c r="AA454" s="97"/>
      <c r="AB454" s="97"/>
      <c r="AC454" s="97"/>
      <c r="AD454" s="97"/>
      <c r="AE454" s="39">
        <v>0.15</v>
      </c>
      <c r="AF454" s="97"/>
      <c r="AG454" s="97"/>
      <c r="AH454" s="97"/>
      <c r="AI454" s="97"/>
      <c r="AJ454" s="97"/>
      <c r="AK454" s="97"/>
      <c r="AL454" s="97"/>
      <c r="AM454" s="97"/>
      <c r="AN454" s="97"/>
      <c r="AO454" s="97"/>
      <c r="AP454" s="97"/>
      <c r="AQ454" s="97"/>
      <c r="AR454" s="97"/>
      <c r="AS454" s="97"/>
      <c r="AT454" s="97"/>
      <c r="AU454" s="97"/>
      <c r="AV454" s="97"/>
      <c r="AW454" s="97"/>
      <c r="AX454" s="97"/>
      <c r="AY454" s="97"/>
      <c r="AZ454" s="97"/>
      <c r="BA454" s="97"/>
      <c r="BB454" s="97"/>
      <c r="BC454" s="39">
        <v>1.05</v>
      </c>
      <c r="BD454" s="97"/>
      <c r="BE454" s="100">
        <v>1.08</v>
      </c>
      <c r="BF454" s="97"/>
      <c r="BG454" s="97"/>
      <c r="BH454" s="97"/>
      <c r="BI454" s="97"/>
      <c r="BJ454" s="78"/>
      <c r="BK454" s="97"/>
      <c r="BL454" s="97"/>
      <c r="BM454" s="79">
        <f t="shared" si="51"/>
        <v>0</v>
      </c>
      <c r="BN454" s="75"/>
      <c r="BO454" s="75"/>
    </row>
    <row r="455" spans="1:67" s="4" customFormat="1" ht="62.4" x14ac:dyDescent="0.3">
      <c r="A455" s="48">
        <v>4</v>
      </c>
      <c r="B455" s="102" t="s">
        <v>676</v>
      </c>
      <c r="C455" s="103" t="s">
        <v>42</v>
      </c>
      <c r="D455" s="40">
        <v>8</v>
      </c>
      <c r="E455" s="40">
        <v>2</v>
      </c>
      <c r="F455" s="40">
        <v>6</v>
      </c>
      <c r="G455" s="40">
        <v>3.5</v>
      </c>
      <c r="H455" s="104"/>
      <c r="I455" s="104"/>
      <c r="J455" s="104">
        <v>2.5</v>
      </c>
      <c r="K455" s="123"/>
      <c r="L455" s="102" t="s">
        <v>677</v>
      </c>
      <c r="M455" s="44" t="s">
        <v>672</v>
      </c>
      <c r="N455" s="209">
        <v>371</v>
      </c>
      <c r="O455" s="4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v>1</v>
      </c>
      <c r="BE455" s="84">
        <v>1.5</v>
      </c>
      <c r="BF455" s="84"/>
      <c r="BG455" s="84"/>
      <c r="BH455" s="84"/>
      <c r="BI455" s="84"/>
      <c r="BJ455" s="78">
        <f t="shared" si="54"/>
        <v>0</v>
      </c>
      <c r="BK455" s="84"/>
      <c r="BL455" s="44">
        <v>23</v>
      </c>
      <c r="BM455" s="79">
        <f t="shared" si="51"/>
        <v>0</v>
      </c>
      <c r="BN455" s="75" t="s">
        <v>1312</v>
      </c>
      <c r="BO455" s="75"/>
    </row>
    <row r="456" spans="1:67" s="10" customFormat="1" ht="70.5" customHeight="1" x14ac:dyDescent="0.3">
      <c r="A456" s="219">
        <v>5</v>
      </c>
      <c r="B456" s="94" t="s">
        <v>118</v>
      </c>
      <c r="C456" s="96" t="s">
        <v>42</v>
      </c>
      <c r="D456" s="104">
        <v>26.58</v>
      </c>
      <c r="E456" s="104">
        <v>7.98</v>
      </c>
      <c r="F456" s="104">
        <v>18.600000000000001</v>
      </c>
      <c r="G456" s="104">
        <v>1.67</v>
      </c>
      <c r="H456" s="104"/>
      <c r="I456" s="104"/>
      <c r="J456" s="104">
        <v>16.93</v>
      </c>
      <c r="K456" s="102" t="s">
        <v>766</v>
      </c>
      <c r="L456" s="102" t="s">
        <v>691</v>
      </c>
      <c r="M456" s="49" t="s">
        <v>803</v>
      </c>
      <c r="N456" s="208">
        <v>372</v>
      </c>
      <c r="O456" s="49"/>
      <c r="P456" s="39"/>
      <c r="Q456" s="39"/>
      <c r="R456" s="39"/>
      <c r="S456" s="39"/>
      <c r="T456" s="39"/>
      <c r="U456" s="39"/>
      <c r="V456" s="39"/>
      <c r="W456" s="39"/>
      <c r="X456" s="39"/>
      <c r="Y456" s="39"/>
      <c r="Z456" s="39"/>
      <c r="AA456" s="39"/>
      <c r="AB456" s="39"/>
      <c r="AC456" s="39"/>
      <c r="AD456" s="39">
        <v>2.93</v>
      </c>
      <c r="AE456" s="39"/>
      <c r="AF456" s="39"/>
      <c r="AG456" s="39"/>
      <c r="AH456" s="39"/>
      <c r="AI456" s="39"/>
      <c r="AJ456" s="39"/>
      <c r="AK456" s="39"/>
      <c r="AL456" s="39"/>
      <c r="AM456" s="39"/>
      <c r="AN456" s="39"/>
      <c r="AO456" s="39"/>
      <c r="AP456" s="39"/>
      <c r="AQ456" s="39">
        <f>AQ457+AQ458</f>
        <v>4.1099999999999994</v>
      </c>
      <c r="AR456" s="39"/>
      <c r="AS456" s="39"/>
      <c r="AT456" s="39"/>
      <c r="AU456" s="39"/>
      <c r="AV456" s="39"/>
      <c r="AW456" s="39"/>
      <c r="AX456" s="39"/>
      <c r="AY456" s="39"/>
      <c r="AZ456" s="39"/>
      <c r="BA456" s="39"/>
      <c r="BB456" s="39"/>
      <c r="BC456" s="39">
        <v>0.8</v>
      </c>
      <c r="BD456" s="39">
        <v>4.0999999999999996</v>
      </c>
      <c r="BE456" s="39">
        <v>3.8</v>
      </c>
      <c r="BF456" s="39"/>
      <c r="BG456" s="39"/>
      <c r="BH456" s="84"/>
      <c r="BI456" s="84"/>
      <c r="BJ456" s="78">
        <f t="shared" si="54"/>
        <v>0</v>
      </c>
      <c r="BK456" s="84"/>
      <c r="BL456" s="44">
        <v>23</v>
      </c>
      <c r="BM456" s="79">
        <f t="shared" si="51"/>
        <v>1.1900000000000013</v>
      </c>
      <c r="BN456" s="75" t="s">
        <v>866</v>
      </c>
      <c r="BO456" s="75"/>
    </row>
    <row r="457" spans="1:67" s="62" customFormat="1" ht="70.5" customHeight="1" x14ac:dyDescent="0.3">
      <c r="A457" s="220"/>
      <c r="B457" s="94" t="s">
        <v>1295</v>
      </c>
      <c r="C457" s="96" t="s">
        <v>42</v>
      </c>
      <c r="D457" s="104">
        <v>13.29</v>
      </c>
      <c r="E457" s="104">
        <v>3.99</v>
      </c>
      <c r="F457" s="104">
        <v>9.3000000000000007</v>
      </c>
      <c r="G457" s="104">
        <v>0.84</v>
      </c>
      <c r="H457" s="104"/>
      <c r="I457" s="104"/>
      <c r="J457" s="104">
        <v>8.4600000000000009</v>
      </c>
      <c r="K457" s="102"/>
      <c r="L457" s="102" t="s">
        <v>688</v>
      </c>
      <c r="M457" s="49"/>
      <c r="N457" s="49"/>
      <c r="O457" s="49"/>
      <c r="P457" s="39"/>
      <c r="Q457" s="39"/>
      <c r="R457" s="39"/>
      <c r="S457" s="39"/>
      <c r="T457" s="39"/>
      <c r="U457" s="39"/>
      <c r="V457" s="39"/>
      <c r="W457" s="39"/>
      <c r="X457" s="39"/>
      <c r="Y457" s="39"/>
      <c r="Z457" s="39"/>
      <c r="AA457" s="39"/>
      <c r="AB457" s="39"/>
      <c r="AC457" s="39"/>
      <c r="AD457" s="39">
        <v>1.47</v>
      </c>
      <c r="AE457" s="39"/>
      <c r="AF457" s="39"/>
      <c r="AG457" s="39"/>
      <c r="AH457" s="39"/>
      <c r="AI457" s="39"/>
      <c r="AJ457" s="39"/>
      <c r="AK457" s="39"/>
      <c r="AL457" s="39"/>
      <c r="AM457" s="39"/>
      <c r="AN457" s="39"/>
      <c r="AO457" s="39"/>
      <c r="AP457" s="39"/>
      <c r="AQ457" s="39">
        <v>2.65</v>
      </c>
      <c r="AR457" s="39"/>
      <c r="AS457" s="39"/>
      <c r="AT457" s="39"/>
      <c r="AU457" s="39"/>
      <c r="AV457" s="39"/>
      <c r="AW457" s="39"/>
      <c r="AX457" s="39"/>
      <c r="AY457" s="39"/>
      <c r="AZ457" s="39"/>
      <c r="BA457" s="39"/>
      <c r="BB457" s="39"/>
      <c r="BC457" s="39">
        <v>0.4</v>
      </c>
      <c r="BD457" s="39"/>
      <c r="BE457" s="39">
        <v>3.94</v>
      </c>
      <c r="BF457" s="39"/>
      <c r="BG457" s="39"/>
      <c r="BH457" s="84"/>
      <c r="BI457" s="84"/>
      <c r="BJ457" s="78"/>
      <c r="BK457" s="84"/>
      <c r="BL457" s="44"/>
      <c r="BM457" s="79">
        <f t="shared" si="51"/>
        <v>0</v>
      </c>
      <c r="BN457" s="75"/>
      <c r="BO457" s="75"/>
    </row>
    <row r="458" spans="1:67" s="62" customFormat="1" ht="70.5" customHeight="1" x14ac:dyDescent="0.3">
      <c r="A458" s="221"/>
      <c r="B458" s="94" t="s">
        <v>1296</v>
      </c>
      <c r="C458" s="96" t="s">
        <v>42</v>
      </c>
      <c r="D458" s="104">
        <v>13.29</v>
      </c>
      <c r="E458" s="104">
        <v>3.99</v>
      </c>
      <c r="F458" s="104">
        <v>9.3000000000000007</v>
      </c>
      <c r="G458" s="104">
        <v>0.83</v>
      </c>
      <c r="H458" s="104"/>
      <c r="I458" s="104"/>
      <c r="J458" s="104">
        <v>8.4700000000000006</v>
      </c>
      <c r="K458" s="102"/>
      <c r="L458" s="102" t="s">
        <v>102</v>
      </c>
      <c r="M458" s="49"/>
      <c r="N458" s="49"/>
      <c r="O458" s="4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v>1.46</v>
      </c>
      <c r="AR458" s="39"/>
      <c r="AS458" s="39"/>
      <c r="AT458" s="39"/>
      <c r="AU458" s="39"/>
      <c r="AV458" s="39"/>
      <c r="AW458" s="39"/>
      <c r="AX458" s="39"/>
      <c r="AY458" s="39"/>
      <c r="AZ458" s="39"/>
      <c r="BA458" s="39"/>
      <c r="BB458" s="39"/>
      <c r="BC458" s="39">
        <v>0.4</v>
      </c>
      <c r="BD458" s="39"/>
      <c r="BE458" s="39">
        <f>3.96+2.65</f>
        <v>6.6099999999999994</v>
      </c>
      <c r="BF458" s="39"/>
      <c r="BG458" s="39"/>
      <c r="BH458" s="84"/>
      <c r="BI458" s="84"/>
      <c r="BJ458" s="78"/>
      <c r="BK458" s="84"/>
      <c r="BL458" s="44"/>
      <c r="BM458" s="79">
        <f t="shared" si="51"/>
        <v>0</v>
      </c>
      <c r="BN458" s="75"/>
      <c r="BO458" s="75"/>
    </row>
    <row r="459" spans="1:67" s="4" customFormat="1" ht="46.8" x14ac:dyDescent="0.3">
      <c r="A459" s="48">
        <v>6</v>
      </c>
      <c r="B459" s="102" t="s">
        <v>692</v>
      </c>
      <c r="C459" s="96" t="s">
        <v>42</v>
      </c>
      <c r="D459" s="108">
        <v>4.2</v>
      </c>
      <c r="E459" s="108">
        <v>1.8</v>
      </c>
      <c r="F459" s="108">
        <v>2.4</v>
      </c>
      <c r="G459" s="108">
        <v>2</v>
      </c>
      <c r="H459" s="108"/>
      <c r="I459" s="108"/>
      <c r="J459" s="108">
        <v>0.4</v>
      </c>
      <c r="K459" s="94"/>
      <c r="L459" s="94" t="s">
        <v>67</v>
      </c>
      <c r="M459" s="44" t="s">
        <v>672</v>
      </c>
      <c r="N459" s="209">
        <v>373</v>
      </c>
      <c r="O459" s="4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v>0.4</v>
      </c>
      <c r="BF459" s="84"/>
      <c r="BG459" s="84"/>
      <c r="BH459" s="84"/>
      <c r="BI459" s="84"/>
      <c r="BJ459" s="78">
        <f t="shared" si="54"/>
        <v>0</v>
      </c>
      <c r="BK459" s="84"/>
      <c r="BL459" s="44">
        <v>23</v>
      </c>
      <c r="BM459" s="79">
        <f t="shared" si="51"/>
        <v>0</v>
      </c>
      <c r="BN459" s="75"/>
      <c r="BO459" s="75"/>
    </row>
    <row r="460" spans="1:67" s="4" customFormat="1" x14ac:dyDescent="0.3">
      <c r="A460" s="48">
        <v>7</v>
      </c>
      <c r="B460" s="42" t="s">
        <v>510</v>
      </c>
      <c r="C460" s="43" t="s">
        <v>42</v>
      </c>
      <c r="D460" s="41">
        <v>0.3</v>
      </c>
      <c r="E460" s="41"/>
      <c r="F460" s="41">
        <v>0.3</v>
      </c>
      <c r="G460" s="41"/>
      <c r="H460" s="85"/>
      <c r="I460" s="39"/>
      <c r="J460" s="41">
        <f>SUM(V460:BG460)</f>
        <v>0.3</v>
      </c>
      <c r="K460" s="42" t="s">
        <v>58</v>
      </c>
      <c r="L460" s="42" t="s">
        <v>58</v>
      </c>
      <c r="M460" s="43">
        <v>3</v>
      </c>
      <c r="N460" s="210">
        <v>374</v>
      </c>
      <c r="O460" s="43"/>
      <c r="P460" s="105"/>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v>0.3</v>
      </c>
      <c r="BF460" s="84"/>
      <c r="BG460" s="84"/>
      <c r="BH460" s="84"/>
      <c r="BI460" s="84"/>
      <c r="BJ460" s="78">
        <f t="shared" si="54"/>
        <v>0</v>
      </c>
      <c r="BK460" s="84"/>
      <c r="BL460" s="44">
        <v>23</v>
      </c>
      <c r="BM460" s="79">
        <f t="shared" si="51"/>
        <v>0</v>
      </c>
      <c r="BN460" s="75"/>
      <c r="BO460" s="75"/>
    </row>
    <row r="461" spans="1:67" s="63" customFormat="1" ht="101.25" customHeight="1" x14ac:dyDescent="0.3">
      <c r="A461" s="48">
        <v>8</v>
      </c>
      <c r="B461" s="42" t="s">
        <v>802</v>
      </c>
      <c r="C461" s="43" t="s">
        <v>42</v>
      </c>
      <c r="D461" s="41">
        <v>13</v>
      </c>
      <c r="E461" s="41">
        <v>12.58</v>
      </c>
      <c r="F461" s="41">
        <v>0.42</v>
      </c>
      <c r="G461" s="41"/>
      <c r="H461" s="41"/>
      <c r="I461" s="39"/>
      <c r="J461" s="41">
        <f>SUM(V461:BG461)</f>
        <v>0.42000000000000004</v>
      </c>
      <c r="K461" s="42" t="s">
        <v>898</v>
      </c>
      <c r="L461" s="42" t="s">
        <v>58</v>
      </c>
      <c r="M461" s="43">
        <v>33</v>
      </c>
      <c r="N461" s="210">
        <v>375</v>
      </c>
      <c r="O461" s="43"/>
      <c r="P461" s="84"/>
      <c r="Q461" s="44"/>
      <c r="R461" s="44"/>
      <c r="S461" s="44"/>
      <c r="T461" s="44"/>
      <c r="U461" s="44"/>
      <c r="V461" s="44"/>
      <c r="W461" s="44"/>
      <c r="X461" s="44">
        <v>0.17</v>
      </c>
      <c r="Y461" s="44"/>
      <c r="Z461" s="44"/>
      <c r="AA461" s="44">
        <v>0.06</v>
      </c>
      <c r="AB461" s="44"/>
      <c r="AC461" s="44"/>
      <c r="AD461" s="44"/>
      <c r="AE461" s="44"/>
      <c r="AF461" s="44"/>
      <c r="AG461" s="44"/>
      <c r="AH461" s="44">
        <v>0.06</v>
      </c>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v>0.13</v>
      </c>
      <c r="BE461" s="44"/>
      <c r="BF461" s="44"/>
      <c r="BG461" s="44"/>
      <c r="BH461" s="44"/>
      <c r="BI461" s="44"/>
      <c r="BJ461" s="78">
        <f t="shared" si="54"/>
        <v>0</v>
      </c>
      <c r="BK461" s="84"/>
      <c r="BL461" s="44">
        <v>23</v>
      </c>
      <c r="BM461" s="79">
        <f t="shared" si="51"/>
        <v>0</v>
      </c>
      <c r="BN461" s="75"/>
      <c r="BO461" s="75"/>
    </row>
    <row r="462" spans="1:67" s="4" customFormat="1" x14ac:dyDescent="0.3">
      <c r="A462" s="48">
        <v>9</v>
      </c>
      <c r="B462" s="42" t="s">
        <v>72</v>
      </c>
      <c r="C462" s="43" t="s">
        <v>42</v>
      </c>
      <c r="D462" s="41">
        <v>5</v>
      </c>
      <c r="E462" s="172"/>
      <c r="F462" s="41">
        <v>5</v>
      </c>
      <c r="G462" s="41">
        <v>1</v>
      </c>
      <c r="H462" s="41"/>
      <c r="I462" s="39"/>
      <c r="J462" s="41">
        <v>4</v>
      </c>
      <c r="K462" s="42" t="s">
        <v>918</v>
      </c>
      <c r="L462" s="117" t="s">
        <v>67</v>
      </c>
      <c r="M462" s="43">
        <v>18</v>
      </c>
      <c r="N462" s="210">
        <v>376</v>
      </c>
      <c r="O462" s="43"/>
      <c r="P462" s="48"/>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v>4</v>
      </c>
      <c r="BD462" s="115"/>
      <c r="BE462" s="115"/>
      <c r="BF462" s="115"/>
      <c r="BG462" s="115"/>
      <c r="BH462" s="115"/>
      <c r="BI462" s="115"/>
      <c r="BJ462" s="78">
        <f t="shared" si="54"/>
        <v>0</v>
      </c>
      <c r="BK462" s="115"/>
      <c r="BL462" s="44">
        <v>23</v>
      </c>
      <c r="BM462" s="79">
        <f t="shared" si="51"/>
        <v>0</v>
      </c>
      <c r="BN462" s="75"/>
      <c r="BO462" s="75"/>
    </row>
    <row r="463" spans="1:67" s="4" customFormat="1" ht="89.25" customHeight="1" x14ac:dyDescent="0.3">
      <c r="A463" s="48">
        <v>10</v>
      </c>
      <c r="B463" s="42" t="s">
        <v>74</v>
      </c>
      <c r="C463" s="43" t="s">
        <v>42</v>
      </c>
      <c r="D463" s="41">
        <v>10</v>
      </c>
      <c r="E463" s="41"/>
      <c r="F463" s="41">
        <v>10</v>
      </c>
      <c r="G463" s="41">
        <v>3</v>
      </c>
      <c r="H463" s="41"/>
      <c r="I463" s="39"/>
      <c r="J463" s="41">
        <v>7</v>
      </c>
      <c r="K463" s="42" t="s">
        <v>89</v>
      </c>
      <c r="L463" s="117" t="s">
        <v>67</v>
      </c>
      <c r="M463" s="43">
        <v>17</v>
      </c>
      <c r="N463" s="210">
        <v>377</v>
      </c>
      <c r="O463" s="43"/>
      <c r="P463" s="48"/>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v>1</v>
      </c>
      <c r="AR463" s="115"/>
      <c r="AS463" s="115"/>
      <c r="AT463" s="115"/>
      <c r="AU463" s="115"/>
      <c r="AV463" s="115"/>
      <c r="AW463" s="115"/>
      <c r="AX463" s="115"/>
      <c r="AY463" s="115"/>
      <c r="AZ463" s="115"/>
      <c r="BA463" s="115"/>
      <c r="BB463" s="48"/>
      <c r="BC463" s="115">
        <v>5</v>
      </c>
      <c r="BD463" s="115"/>
      <c r="BE463" s="115">
        <v>1</v>
      </c>
      <c r="BF463" s="115"/>
      <c r="BG463" s="115"/>
      <c r="BH463" s="115"/>
      <c r="BI463" s="115"/>
      <c r="BJ463" s="78">
        <f t="shared" si="54"/>
        <v>0</v>
      </c>
      <c r="BK463" s="115"/>
      <c r="BL463" s="44">
        <v>23</v>
      </c>
      <c r="BM463" s="79">
        <f t="shared" si="51"/>
        <v>0</v>
      </c>
      <c r="BN463" s="75"/>
      <c r="BO463" s="75"/>
    </row>
    <row r="464" spans="1:67" s="4" customFormat="1" ht="31.2" x14ac:dyDescent="0.3">
      <c r="A464" s="48">
        <v>11</v>
      </c>
      <c r="B464" s="42" t="s">
        <v>98</v>
      </c>
      <c r="C464" s="48" t="s">
        <v>42</v>
      </c>
      <c r="D464" s="39">
        <v>1</v>
      </c>
      <c r="E464" s="39"/>
      <c r="F464" s="39">
        <v>1</v>
      </c>
      <c r="G464" s="39"/>
      <c r="H464" s="41"/>
      <c r="I464" s="39"/>
      <c r="J464" s="39">
        <v>1</v>
      </c>
      <c r="K464" s="42" t="s">
        <v>1041</v>
      </c>
      <c r="L464" s="42" t="s">
        <v>93</v>
      </c>
      <c r="M464" s="48">
        <v>32</v>
      </c>
      <c r="N464" s="206">
        <v>378</v>
      </c>
      <c r="O464" s="48"/>
      <c r="P464" s="48"/>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v>1</v>
      </c>
      <c r="BE464" s="84"/>
      <c r="BF464" s="84"/>
      <c r="BG464" s="84"/>
      <c r="BH464" s="84"/>
      <c r="BI464" s="84"/>
      <c r="BJ464" s="78">
        <f t="shared" si="54"/>
        <v>0</v>
      </c>
      <c r="BK464" s="84"/>
      <c r="BL464" s="44">
        <v>23</v>
      </c>
      <c r="BM464" s="79">
        <f t="shared" si="51"/>
        <v>0</v>
      </c>
      <c r="BN464" s="75"/>
      <c r="BO464" s="75"/>
    </row>
    <row r="465" spans="1:67" s="4" customFormat="1" x14ac:dyDescent="0.3">
      <c r="A465" s="48">
        <v>12</v>
      </c>
      <c r="B465" s="42" t="s">
        <v>99</v>
      </c>
      <c r="C465" s="48" t="s">
        <v>42</v>
      </c>
      <c r="D465" s="39">
        <v>1</v>
      </c>
      <c r="E465" s="39"/>
      <c r="F465" s="39">
        <v>1</v>
      </c>
      <c r="G465" s="39"/>
      <c r="H465" s="41"/>
      <c r="I465" s="39"/>
      <c r="J465" s="39">
        <v>1</v>
      </c>
      <c r="K465" s="42" t="s">
        <v>1042</v>
      </c>
      <c r="L465" s="42" t="s">
        <v>93</v>
      </c>
      <c r="M465" s="48">
        <v>33</v>
      </c>
      <c r="N465" s="206">
        <v>379</v>
      </c>
      <c r="O465" s="48"/>
      <c r="P465" s="48"/>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v>1</v>
      </c>
      <c r="BE465" s="84"/>
      <c r="BF465" s="84"/>
      <c r="BG465" s="84"/>
      <c r="BH465" s="84"/>
      <c r="BI465" s="84"/>
      <c r="BJ465" s="78">
        <f t="shared" si="54"/>
        <v>0</v>
      </c>
      <c r="BK465" s="84"/>
      <c r="BL465" s="44">
        <v>23</v>
      </c>
      <c r="BM465" s="79">
        <f t="shared" ref="BM465:BM528" si="56">J465-SUM(V465:BH465)</f>
        <v>0</v>
      </c>
      <c r="BN465" s="75"/>
      <c r="BO465" s="75"/>
    </row>
    <row r="466" spans="1:67" s="4" customFormat="1" ht="31.2" x14ac:dyDescent="0.3">
      <c r="A466" s="48">
        <v>13</v>
      </c>
      <c r="B466" s="50" t="s">
        <v>119</v>
      </c>
      <c r="C466" s="39" t="s">
        <v>42</v>
      </c>
      <c r="D466" s="39">
        <v>10.8</v>
      </c>
      <c r="E466" s="39">
        <v>4.5</v>
      </c>
      <c r="F466" s="39">
        <v>6.3</v>
      </c>
      <c r="G466" s="39">
        <v>1.2</v>
      </c>
      <c r="H466" s="39"/>
      <c r="I466" s="39"/>
      <c r="J466" s="39">
        <v>5.0999999999999996</v>
      </c>
      <c r="K466" s="101" t="s">
        <v>111</v>
      </c>
      <c r="L466" s="50" t="s">
        <v>102</v>
      </c>
      <c r="M466" s="110"/>
      <c r="N466" s="211">
        <v>380</v>
      </c>
      <c r="O466" s="110"/>
      <c r="P466" s="39"/>
      <c r="Q466" s="39"/>
      <c r="R466" s="39"/>
      <c r="S466" s="39"/>
      <c r="T466" s="39"/>
      <c r="U466" s="39"/>
      <c r="V466" s="39"/>
      <c r="W466" s="39"/>
      <c r="X466" s="39"/>
      <c r="Y466" s="39"/>
      <c r="Z466" s="39">
        <v>1.5</v>
      </c>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v>3.6</v>
      </c>
      <c r="BF466" s="39"/>
      <c r="BG466" s="39"/>
      <c r="BH466" s="39"/>
      <c r="BI466" s="39"/>
      <c r="BJ466" s="78">
        <f t="shared" si="54"/>
        <v>0</v>
      </c>
      <c r="BK466" s="39"/>
      <c r="BL466" s="44">
        <v>23</v>
      </c>
      <c r="BM466" s="79">
        <f t="shared" si="56"/>
        <v>0</v>
      </c>
      <c r="BN466" s="75"/>
      <c r="BO466" s="75"/>
    </row>
    <row r="467" spans="1:67" s="4" customFormat="1" ht="46.8" x14ac:dyDescent="0.3">
      <c r="A467" s="48">
        <v>14</v>
      </c>
      <c r="B467" s="42" t="s">
        <v>148</v>
      </c>
      <c r="C467" s="43" t="s">
        <v>42</v>
      </c>
      <c r="D467" s="39">
        <v>0.41000000000000003</v>
      </c>
      <c r="E467" s="108">
        <v>0.15</v>
      </c>
      <c r="F467" s="39">
        <v>0.26</v>
      </c>
      <c r="G467" s="39"/>
      <c r="H467" s="39">
        <v>0</v>
      </c>
      <c r="I467" s="39"/>
      <c r="J467" s="39">
        <v>0.26</v>
      </c>
      <c r="K467" s="50" t="s">
        <v>131</v>
      </c>
      <c r="L467" s="122" t="s">
        <v>125</v>
      </c>
      <c r="M467" s="99">
        <v>157</v>
      </c>
      <c r="N467" s="207">
        <v>381</v>
      </c>
      <c r="O467" s="99"/>
      <c r="P467" s="39"/>
      <c r="Q467" s="39"/>
      <c r="R467" s="39"/>
      <c r="S467" s="39"/>
      <c r="T467" s="39"/>
      <c r="U467" s="39"/>
      <c r="V467" s="39"/>
      <c r="W467" s="39"/>
      <c r="X467" s="39"/>
      <c r="Y467" s="39"/>
      <c r="Z467" s="39">
        <v>0.26</v>
      </c>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78">
        <f t="shared" si="54"/>
        <v>0</v>
      </c>
      <c r="BK467" s="39"/>
      <c r="BL467" s="44">
        <v>23</v>
      </c>
      <c r="BM467" s="79">
        <f t="shared" si="56"/>
        <v>0</v>
      </c>
      <c r="BN467" s="75"/>
      <c r="BO467" s="75"/>
    </row>
    <row r="468" spans="1:67" s="4" customFormat="1" ht="31.2" x14ac:dyDescent="0.3">
      <c r="A468" s="48">
        <v>15</v>
      </c>
      <c r="B468" s="42" t="s">
        <v>511</v>
      </c>
      <c r="C468" s="43" t="s">
        <v>42</v>
      </c>
      <c r="D468" s="39">
        <v>3.9</v>
      </c>
      <c r="E468" s="108">
        <v>2.2000000000000002</v>
      </c>
      <c r="F468" s="39">
        <v>1.7</v>
      </c>
      <c r="G468" s="39">
        <v>0.3</v>
      </c>
      <c r="H468" s="39">
        <v>0</v>
      </c>
      <c r="I468" s="39"/>
      <c r="J468" s="39">
        <v>1.4</v>
      </c>
      <c r="K468" s="50" t="s">
        <v>111</v>
      </c>
      <c r="L468" s="122" t="s">
        <v>125</v>
      </c>
      <c r="M468" s="99"/>
      <c r="N468" s="207">
        <v>382</v>
      </c>
      <c r="O468" s="99"/>
      <c r="P468" s="39"/>
      <c r="Q468" s="39"/>
      <c r="R468" s="39"/>
      <c r="S468" s="39"/>
      <c r="T468" s="39"/>
      <c r="U468" s="39"/>
      <c r="V468" s="39"/>
      <c r="W468" s="39"/>
      <c r="X468" s="39"/>
      <c r="Y468" s="39"/>
      <c r="Z468" s="39">
        <v>1.4</v>
      </c>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78">
        <f t="shared" si="54"/>
        <v>0</v>
      </c>
      <c r="BK468" s="39"/>
      <c r="BL468" s="44">
        <v>23</v>
      </c>
      <c r="BM468" s="79">
        <f t="shared" si="56"/>
        <v>0</v>
      </c>
      <c r="BN468" s="75"/>
      <c r="BO468" s="75"/>
    </row>
    <row r="469" spans="1:67" s="4" customFormat="1" x14ac:dyDescent="0.3">
      <c r="A469" s="48">
        <v>16</v>
      </c>
      <c r="B469" s="50" t="s">
        <v>512</v>
      </c>
      <c r="C469" s="39" t="s">
        <v>42</v>
      </c>
      <c r="D469" s="39">
        <v>0.7</v>
      </c>
      <c r="E469" s="39"/>
      <c r="F469" s="39">
        <v>0.7</v>
      </c>
      <c r="G469" s="39">
        <v>0.6</v>
      </c>
      <c r="H469" s="39"/>
      <c r="I469" s="39"/>
      <c r="J469" s="39">
        <v>0.1</v>
      </c>
      <c r="K469" s="50" t="s">
        <v>171</v>
      </c>
      <c r="L469" s="50" t="s">
        <v>154</v>
      </c>
      <c r="M469" s="99">
        <v>35</v>
      </c>
      <c r="N469" s="207">
        <v>383</v>
      </c>
      <c r="O469" s="9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v>0.1</v>
      </c>
      <c r="BE469" s="39"/>
      <c r="BF469" s="39"/>
      <c r="BG469" s="39"/>
      <c r="BH469" s="39"/>
      <c r="BI469" s="39"/>
      <c r="BJ469" s="78">
        <f t="shared" si="54"/>
        <v>0</v>
      </c>
      <c r="BK469" s="39"/>
      <c r="BL469" s="44">
        <v>23</v>
      </c>
      <c r="BM469" s="79">
        <f t="shared" si="56"/>
        <v>0</v>
      </c>
      <c r="BN469" s="75"/>
      <c r="BO469" s="75"/>
    </row>
    <row r="470" spans="1:67" s="4" customFormat="1" ht="30.75" customHeight="1" x14ac:dyDescent="0.3">
      <c r="A470" s="48">
        <v>17</v>
      </c>
      <c r="B470" s="50" t="s">
        <v>812</v>
      </c>
      <c r="C470" s="39" t="s">
        <v>42</v>
      </c>
      <c r="D470" s="41">
        <v>2.2000000000000002</v>
      </c>
      <c r="E470" s="41">
        <v>1.4</v>
      </c>
      <c r="F470" s="41">
        <v>0.8</v>
      </c>
      <c r="G470" s="41"/>
      <c r="H470" s="41"/>
      <c r="I470" s="39"/>
      <c r="J470" s="39">
        <v>0.8</v>
      </c>
      <c r="K470" s="50" t="s">
        <v>214</v>
      </c>
      <c r="L470" s="50" t="s">
        <v>208</v>
      </c>
      <c r="M470" s="99">
        <v>55</v>
      </c>
      <c r="N470" s="207">
        <v>384</v>
      </c>
      <c r="O470" s="9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v>0.8</v>
      </c>
      <c r="BF470" s="39"/>
      <c r="BG470" s="39"/>
      <c r="BH470" s="39"/>
      <c r="BI470" s="39"/>
      <c r="BJ470" s="78">
        <f t="shared" si="54"/>
        <v>0</v>
      </c>
      <c r="BK470" s="39"/>
      <c r="BL470" s="44"/>
      <c r="BM470" s="79">
        <f t="shared" si="56"/>
        <v>0</v>
      </c>
      <c r="BN470" s="75"/>
      <c r="BO470" s="75"/>
    </row>
    <row r="471" spans="1:67" s="10" customFormat="1" ht="65.25" customHeight="1" x14ac:dyDescent="0.3">
      <c r="A471" s="219">
        <v>18</v>
      </c>
      <c r="B471" s="50" t="s">
        <v>172</v>
      </c>
      <c r="C471" s="41" t="s">
        <v>42</v>
      </c>
      <c r="D471" s="41">
        <v>22.5</v>
      </c>
      <c r="E471" s="41">
        <v>13.5</v>
      </c>
      <c r="F471" s="41">
        <v>9</v>
      </c>
      <c r="G471" s="41">
        <v>2.5</v>
      </c>
      <c r="H471" s="41"/>
      <c r="I471" s="41"/>
      <c r="J471" s="39">
        <v>6.5</v>
      </c>
      <c r="K471" s="50"/>
      <c r="L471" s="50" t="s">
        <v>689</v>
      </c>
      <c r="M471" s="110" t="s">
        <v>690</v>
      </c>
      <c r="N471" s="211">
        <v>385</v>
      </c>
      <c r="O471" s="110"/>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v>5.6</v>
      </c>
      <c r="BE471" s="39">
        <v>0.9</v>
      </c>
      <c r="BF471" s="39"/>
      <c r="BG471" s="39"/>
      <c r="BH471" s="39"/>
      <c r="BI471" s="39"/>
      <c r="BJ471" s="78">
        <f t="shared" si="54"/>
        <v>0</v>
      </c>
      <c r="BK471" s="39"/>
      <c r="BL471" s="44">
        <v>23</v>
      </c>
      <c r="BM471" s="79">
        <f t="shared" si="56"/>
        <v>0</v>
      </c>
      <c r="BN471" s="75"/>
      <c r="BO471" s="75"/>
    </row>
    <row r="472" spans="1:67" s="62" customFormat="1" ht="65.25" customHeight="1" x14ac:dyDescent="0.3">
      <c r="A472" s="220"/>
      <c r="B472" s="50" t="s">
        <v>1297</v>
      </c>
      <c r="C472" s="41" t="s">
        <v>42</v>
      </c>
      <c r="D472" s="41">
        <v>11.25</v>
      </c>
      <c r="E472" s="41">
        <v>6.75</v>
      </c>
      <c r="F472" s="41">
        <v>4.5</v>
      </c>
      <c r="G472" s="41">
        <v>1.25</v>
      </c>
      <c r="H472" s="41"/>
      <c r="I472" s="41"/>
      <c r="J472" s="39">
        <v>3.25</v>
      </c>
      <c r="K472" s="50"/>
      <c r="L472" s="50" t="s">
        <v>154</v>
      </c>
      <c r="M472" s="110"/>
      <c r="N472" s="110"/>
      <c r="O472" s="110"/>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v>2.8</v>
      </c>
      <c r="BE472" s="39">
        <v>0.45</v>
      </c>
      <c r="BF472" s="39"/>
      <c r="BG472" s="39"/>
      <c r="BH472" s="39"/>
      <c r="BI472" s="39"/>
      <c r="BJ472" s="78">
        <f t="shared" si="54"/>
        <v>0</v>
      </c>
      <c r="BK472" s="39"/>
      <c r="BL472" s="44"/>
      <c r="BM472" s="79">
        <f t="shared" si="56"/>
        <v>0</v>
      </c>
      <c r="BN472" s="75"/>
      <c r="BO472" s="75"/>
    </row>
    <row r="473" spans="1:67" s="62" customFormat="1" ht="65.25" customHeight="1" x14ac:dyDescent="0.3">
      <c r="A473" s="221"/>
      <c r="B473" s="50" t="s">
        <v>1298</v>
      </c>
      <c r="C473" s="41" t="s">
        <v>42</v>
      </c>
      <c r="D473" s="41">
        <v>11.25</v>
      </c>
      <c r="E473" s="41">
        <v>6.75</v>
      </c>
      <c r="F473" s="41">
        <v>4.5</v>
      </c>
      <c r="G473" s="41">
        <v>1.25</v>
      </c>
      <c r="H473" s="41"/>
      <c r="I473" s="41"/>
      <c r="J473" s="39">
        <v>3.25</v>
      </c>
      <c r="K473" s="50"/>
      <c r="L473" s="50" t="s">
        <v>208</v>
      </c>
      <c r="M473" s="110"/>
      <c r="N473" s="110"/>
      <c r="O473" s="110"/>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v>3.25</v>
      </c>
      <c r="BF473" s="39"/>
      <c r="BG473" s="39"/>
      <c r="BH473" s="39"/>
      <c r="BI473" s="39"/>
      <c r="BJ473" s="78"/>
      <c r="BK473" s="39"/>
      <c r="BL473" s="44"/>
      <c r="BM473" s="79">
        <f t="shared" si="56"/>
        <v>0</v>
      </c>
      <c r="BN473" s="75"/>
      <c r="BO473" s="75"/>
    </row>
    <row r="474" spans="1:67" s="4" customFormat="1" ht="31.2" x14ac:dyDescent="0.3">
      <c r="A474" s="48">
        <v>19</v>
      </c>
      <c r="B474" s="50" t="s">
        <v>513</v>
      </c>
      <c r="C474" s="41" t="s">
        <v>42</v>
      </c>
      <c r="D474" s="39">
        <v>0.05</v>
      </c>
      <c r="E474" s="39"/>
      <c r="F474" s="39">
        <v>0.05</v>
      </c>
      <c r="G474" s="39"/>
      <c r="H474" s="39"/>
      <c r="I474" s="39"/>
      <c r="J474" s="39">
        <v>0.05</v>
      </c>
      <c r="K474" s="101" t="s">
        <v>163</v>
      </c>
      <c r="L474" s="50" t="s">
        <v>154</v>
      </c>
      <c r="M474" s="110">
        <v>55</v>
      </c>
      <c r="N474" s="211">
        <v>386</v>
      </c>
      <c r="O474" s="110"/>
      <c r="P474" s="39"/>
      <c r="Q474" s="39"/>
      <c r="R474" s="39"/>
      <c r="S474" s="39"/>
      <c r="T474" s="39"/>
      <c r="U474" s="39"/>
      <c r="V474" s="39"/>
      <c r="W474" s="39"/>
      <c r="X474" s="39"/>
      <c r="Y474" s="39"/>
      <c r="Z474" s="39">
        <v>0.02</v>
      </c>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v>0.03</v>
      </c>
      <c r="BF474" s="39"/>
      <c r="BG474" s="39"/>
      <c r="BH474" s="39"/>
      <c r="BI474" s="39"/>
      <c r="BJ474" s="78">
        <f t="shared" si="54"/>
        <v>0</v>
      </c>
      <c r="BK474" s="39"/>
      <c r="BL474" s="44">
        <v>23</v>
      </c>
      <c r="BM474" s="79">
        <f t="shared" si="56"/>
        <v>0</v>
      </c>
      <c r="BN474" s="75"/>
      <c r="BO474" s="75"/>
    </row>
    <row r="475" spans="1:67" s="4" customFormat="1" ht="62.4" x14ac:dyDescent="0.3">
      <c r="A475" s="48">
        <v>20</v>
      </c>
      <c r="B475" s="42" t="s">
        <v>79</v>
      </c>
      <c r="C475" s="48" t="s">
        <v>42</v>
      </c>
      <c r="D475" s="39">
        <v>11.5</v>
      </c>
      <c r="E475" s="39">
        <v>4.7</v>
      </c>
      <c r="F475" s="39">
        <v>6.8</v>
      </c>
      <c r="G475" s="39">
        <v>2.6</v>
      </c>
      <c r="H475" s="39"/>
      <c r="I475" s="39"/>
      <c r="J475" s="39">
        <v>4.2</v>
      </c>
      <c r="K475" s="50" t="s">
        <v>179</v>
      </c>
      <c r="L475" s="50" t="s">
        <v>179</v>
      </c>
      <c r="M475" s="99">
        <v>85</v>
      </c>
      <c r="N475" s="207">
        <v>387</v>
      </c>
      <c r="O475" s="99"/>
      <c r="P475" s="39"/>
      <c r="Q475" s="39"/>
      <c r="R475" s="39"/>
      <c r="S475" s="39"/>
      <c r="T475" s="39"/>
      <c r="U475" s="39"/>
      <c r="V475" s="39"/>
      <c r="W475" s="39"/>
      <c r="X475" s="39"/>
      <c r="Y475" s="39"/>
      <c r="Z475" s="39">
        <v>1.2</v>
      </c>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v>1.7</v>
      </c>
      <c r="BE475" s="39">
        <v>1.3</v>
      </c>
      <c r="BF475" s="39"/>
      <c r="BG475" s="39"/>
      <c r="BH475" s="39"/>
      <c r="BI475" s="39"/>
      <c r="BJ475" s="78">
        <f t="shared" si="54"/>
        <v>0</v>
      </c>
      <c r="BK475" s="84"/>
      <c r="BL475" s="44">
        <v>23</v>
      </c>
      <c r="BM475" s="79">
        <f t="shared" si="56"/>
        <v>0</v>
      </c>
      <c r="BN475" s="75"/>
      <c r="BO475" s="75"/>
    </row>
    <row r="476" spans="1:67" s="4" customFormat="1" ht="31.2" x14ac:dyDescent="0.3">
      <c r="A476" s="48">
        <v>21</v>
      </c>
      <c r="B476" s="42" t="s">
        <v>248</v>
      </c>
      <c r="C476" s="48" t="s">
        <v>42</v>
      </c>
      <c r="D476" s="41">
        <v>153.66</v>
      </c>
      <c r="E476" s="41"/>
      <c r="F476" s="41">
        <v>153.66</v>
      </c>
      <c r="G476" s="39">
        <v>5</v>
      </c>
      <c r="H476" s="39">
        <v>144.76</v>
      </c>
      <c r="I476" s="39"/>
      <c r="J476" s="39">
        <v>3.9</v>
      </c>
      <c r="K476" s="42" t="s">
        <v>247</v>
      </c>
      <c r="L476" s="42" t="s">
        <v>247</v>
      </c>
      <c r="M476" s="48">
        <v>5</v>
      </c>
      <c r="N476" s="206">
        <v>388</v>
      </c>
      <c r="O476" s="48"/>
      <c r="P476" s="84">
        <v>144.76</v>
      </c>
      <c r="Q476" s="84"/>
      <c r="R476" s="84"/>
      <c r="S476" s="84"/>
      <c r="T476" s="84"/>
      <c r="U476" s="84"/>
      <c r="V476" s="84"/>
      <c r="W476" s="84"/>
      <c r="X476" s="84"/>
      <c r="Y476" s="84"/>
      <c r="Z476" s="84"/>
      <c r="AA476" s="84"/>
      <c r="AB476" s="44">
        <v>3.9</v>
      </c>
      <c r="AC476" s="84"/>
      <c r="AD476" s="84"/>
      <c r="AE476" s="84"/>
      <c r="AF476" s="84"/>
      <c r="AG476" s="118"/>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78">
        <f t="shared" si="54"/>
        <v>0</v>
      </c>
      <c r="BK476" s="84"/>
      <c r="BL476" s="44">
        <v>23</v>
      </c>
      <c r="BM476" s="79">
        <f t="shared" si="56"/>
        <v>0</v>
      </c>
      <c r="BN476" s="75"/>
      <c r="BO476" s="75"/>
    </row>
    <row r="477" spans="1:67" s="4" customFormat="1" ht="34.5" customHeight="1" x14ac:dyDescent="0.3">
      <c r="A477" s="48">
        <v>22</v>
      </c>
      <c r="B477" s="42" t="s">
        <v>304</v>
      </c>
      <c r="C477" s="48" t="s">
        <v>42</v>
      </c>
      <c r="D477" s="39">
        <v>3.8</v>
      </c>
      <c r="E477" s="39"/>
      <c r="F477" s="39">
        <v>3.8</v>
      </c>
      <c r="G477" s="39">
        <v>0.7</v>
      </c>
      <c r="H477" s="39"/>
      <c r="I477" s="39"/>
      <c r="J477" s="39">
        <f>SUM(Z477:BG477)</f>
        <v>3.1</v>
      </c>
      <c r="K477" s="42"/>
      <c r="L477" s="42" t="s">
        <v>294</v>
      </c>
      <c r="M477" s="44">
        <v>38</v>
      </c>
      <c r="N477" s="209">
        <v>389</v>
      </c>
      <c r="O477" s="44"/>
      <c r="P477" s="84"/>
      <c r="Q477" s="84"/>
      <c r="R477" s="84"/>
      <c r="S477" s="84"/>
      <c r="T477" s="84"/>
      <c r="U477" s="84"/>
      <c r="V477" s="84"/>
      <c r="W477" s="84"/>
      <c r="X477" s="84"/>
      <c r="Y477" s="84"/>
      <c r="Z477" s="48">
        <v>0.7</v>
      </c>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v>0.8</v>
      </c>
      <c r="BE477" s="48">
        <v>1.6</v>
      </c>
      <c r="BF477" s="48"/>
      <c r="BG477" s="48"/>
      <c r="BH477" s="48"/>
      <c r="BI477" s="48"/>
      <c r="BJ477" s="78">
        <f t="shared" si="54"/>
        <v>0</v>
      </c>
      <c r="BK477" s="48"/>
      <c r="BL477" s="44">
        <v>23</v>
      </c>
      <c r="BM477" s="79">
        <f t="shared" si="56"/>
        <v>0</v>
      </c>
      <c r="BN477" s="75"/>
      <c r="BO477" s="75"/>
    </row>
    <row r="478" spans="1:67" s="60" customFormat="1" ht="61.5" customHeight="1" x14ac:dyDescent="0.3">
      <c r="A478" s="48">
        <v>23</v>
      </c>
      <c r="B478" s="42" t="s">
        <v>839</v>
      </c>
      <c r="C478" s="43" t="s">
        <v>42</v>
      </c>
      <c r="D478" s="41">
        <v>2.1</v>
      </c>
      <c r="E478" s="41"/>
      <c r="F478" s="41">
        <v>2.1</v>
      </c>
      <c r="G478" s="41">
        <v>1</v>
      </c>
      <c r="H478" s="41"/>
      <c r="I478" s="41"/>
      <c r="J478" s="41">
        <v>1.1000000000000001</v>
      </c>
      <c r="K478" s="42" t="s">
        <v>294</v>
      </c>
      <c r="L478" s="42" t="s">
        <v>294</v>
      </c>
      <c r="M478" s="43" t="s">
        <v>840</v>
      </c>
      <c r="N478" s="210">
        <v>390</v>
      </c>
      <c r="O478" s="43"/>
      <c r="P478" s="97"/>
      <c r="Q478" s="97"/>
      <c r="R478" s="97"/>
      <c r="S478" s="97"/>
      <c r="T478" s="97"/>
      <c r="U478" s="97"/>
      <c r="V478" s="97"/>
      <c r="W478" s="97"/>
      <c r="X478" s="97"/>
      <c r="Y478" s="97"/>
      <c r="Z478" s="97"/>
      <c r="AA478" s="97"/>
      <c r="AB478" s="97"/>
      <c r="AC478" s="97"/>
      <c r="AD478" s="97"/>
      <c r="AE478" s="97">
        <v>1</v>
      </c>
      <c r="AF478" s="97"/>
      <c r="AG478" s="97"/>
      <c r="AH478" s="97"/>
      <c r="AI478" s="97"/>
      <c r="AJ478" s="97"/>
      <c r="AK478" s="97"/>
      <c r="AL478" s="97"/>
      <c r="AM478" s="97"/>
      <c r="AN478" s="97"/>
      <c r="AO478" s="97"/>
      <c r="AP478" s="97"/>
      <c r="AQ478" s="97"/>
      <c r="AR478" s="97"/>
      <c r="AS478" s="97"/>
      <c r="AT478" s="97"/>
      <c r="AU478" s="97"/>
      <c r="AV478" s="97"/>
      <c r="AW478" s="97"/>
      <c r="AX478" s="97"/>
      <c r="AY478" s="97"/>
      <c r="AZ478" s="97"/>
      <c r="BA478" s="97"/>
      <c r="BB478" s="97">
        <v>0.1</v>
      </c>
      <c r="BC478" s="97"/>
      <c r="BD478" s="97"/>
      <c r="BE478" s="100"/>
      <c r="BF478" s="97"/>
      <c r="BG478" s="97"/>
      <c r="BH478" s="97"/>
      <c r="BI478" s="97"/>
      <c r="BJ478" s="78">
        <f t="shared" si="54"/>
        <v>0</v>
      </c>
      <c r="BK478" s="97"/>
      <c r="BL478" s="97"/>
      <c r="BM478" s="79">
        <f t="shared" si="56"/>
        <v>0</v>
      </c>
      <c r="BN478" s="75"/>
      <c r="BO478" s="75"/>
    </row>
    <row r="479" spans="1:67" s="10" customFormat="1" ht="103.5" customHeight="1" x14ac:dyDescent="0.3">
      <c r="A479" s="219">
        <v>24</v>
      </c>
      <c r="B479" s="42" t="s">
        <v>79</v>
      </c>
      <c r="C479" s="48" t="s">
        <v>42</v>
      </c>
      <c r="D479" s="41">
        <f>+(65*8000+30*7600+30*6600)/10000</f>
        <v>94.6</v>
      </c>
      <c r="E479" s="41">
        <f>+(20*8000+7*7600+10*6600)/10000</f>
        <v>27.92</v>
      </c>
      <c r="F479" s="41">
        <f>+D479-E479</f>
        <v>66.679999999999993</v>
      </c>
      <c r="G479" s="41">
        <v>43.18</v>
      </c>
      <c r="H479" s="39"/>
      <c r="I479" s="39"/>
      <c r="J479" s="39">
        <f>SUM(Z479:BG479)</f>
        <v>23.5</v>
      </c>
      <c r="K479" s="92"/>
      <c r="L479" s="42" t="s">
        <v>782</v>
      </c>
      <c r="M479" s="43">
        <v>30</v>
      </c>
      <c r="N479" s="210">
        <v>391</v>
      </c>
      <c r="O479" s="43"/>
      <c r="P479" s="111"/>
      <c r="Q479" s="84"/>
      <c r="R479" s="84"/>
      <c r="S479" s="84"/>
      <c r="T479" s="84"/>
      <c r="U479" s="84"/>
      <c r="V479" s="84"/>
      <c r="W479" s="84"/>
      <c r="X479" s="84"/>
      <c r="Y479" s="84"/>
      <c r="Z479" s="84">
        <v>23.5</v>
      </c>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78">
        <f t="shared" si="54"/>
        <v>0</v>
      </c>
      <c r="BK479" s="84"/>
      <c r="BL479" s="44">
        <v>23</v>
      </c>
      <c r="BM479" s="79">
        <f t="shared" si="56"/>
        <v>0</v>
      </c>
      <c r="BN479" s="75"/>
      <c r="BO479" s="75"/>
    </row>
    <row r="480" spans="1:67" s="62" customFormat="1" ht="103.5" customHeight="1" x14ac:dyDescent="0.3">
      <c r="A480" s="220"/>
      <c r="B480" s="42" t="s">
        <v>1299</v>
      </c>
      <c r="C480" s="48" t="s">
        <v>42</v>
      </c>
      <c r="D480" s="41">
        <v>15.77</v>
      </c>
      <c r="E480" s="41">
        <v>4.66</v>
      </c>
      <c r="F480" s="41">
        <v>11.11</v>
      </c>
      <c r="G480" s="41">
        <v>7.18</v>
      </c>
      <c r="H480" s="39"/>
      <c r="I480" s="39"/>
      <c r="J480" s="39">
        <v>3.9299999999999997</v>
      </c>
      <c r="K480" s="92"/>
      <c r="L480" s="42" t="s">
        <v>67</v>
      </c>
      <c r="M480" s="43"/>
      <c r="N480" s="43"/>
      <c r="O480" s="43"/>
      <c r="P480" s="111"/>
      <c r="Q480" s="84"/>
      <c r="R480" s="84"/>
      <c r="S480" s="84"/>
      <c r="T480" s="84"/>
      <c r="U480" s="84"/>
      <c r="V480" s="84"/>
      <c r="W480" s="84"/>
      <c r="X480" s="84"/>
      <c r="Y480" s="84"/>
      <c r="Z480" s="39">
        <v>3.9299999999999997</v>
      </c>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78"/>
      <c r="BK480" s="84"/>
      <c r="BL480" s="44"/>
      <c r="BM480" s="79">
        <f t="shared" si="56"/>
        <v>0</v>
      </c>
      <c r="BN480" s="75"/>
      <c r="BO480" s="75"/>
    </row>
    <row r="481" spans="1:67" s="62" customFormat="1" ht="103.5" customHeight="1" x14ac:dyDescent="0.3">
      <c r="A481" s="220"/>
      <c r="B481" s="42" t="s">
        <v>1300</v>
      </c>
      <c r="C481" s="48" t="s">
        <v>42</v>
      </c>
      <c r="D481" s="41">
        <v>15.77</v>
      </c>
      <c r="E481" s="41">
        <v>4.66</v>
      </c>
      <c r="F481" s="41">
        <v>11.11</v>
      </c>
      <c r="G481" s="41">
        <v>7.2</v>
      </c>
      <c r="H481" s="39"/>
      <c r="I481" s="39"/>
      <c r="J481" s="39">
        <v>3.9099999999999993</v>
      </c>
      <c r="K481" s="92"/>
      <c r="L481" s="42" t="s">
        <v>1305</v>
      </c>
      <c r="M481" s="43"/>
      <c r="N481" s="43"/>
      <c r="O481" s="43"/>
      <c r="P481" s="111"/>
      <c r="Q481" s="84"/>
      <c r="R481" s="84"/>
      <c r="S481" s="84"/>
      <c r="T481" s="84"/>
      <c r="U481" s="84"/>
      <c r="V481" s="84"/>
      <c r="W481" s="84"/>
      <c r="X481" s="84"/>
      <c r="Y481" s="84"/>
      <c r="Z481" s="39">
        <v>3.9099999999999993</v>
      </c>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78"/>
      <c r="BK481" s="84"/>
      <c r="BL481" s="44"/>
      <c r="BM481" s="79">
        <f t="shared" si="56"/>
        <v>0</v>
      </c>
      <c r="BN481" s="75"/>
      <c r="BO481" s="75"/>
    </row>
    <row r="482" spans="1:67" s="62" customFormat="1" ht="103.5" customHeight="1" x14ac:dyDescent="0.3">
      <c r="A482" s="220"/>
      <c r="B482" s="42" t="s">
        <v>1301</v>
      </c>
      <c r="C482" s="48" t="s">
        <v>42</v>
      </c>
      <c r="D482" s="41">
        <v>15.77</v>
      </c>
      <c r="E482" s="41">
        <v>4.6500000000000004</v>
      </c>
      <c r="F482" s="41">
        <v>11.12</v>
      </c>
      <c r="G482" s="41">
        <v>7.2</v>
      </c>
      <c r="H482" s="39"/>
      <c r="I482" s="39"/>
      <c r="J482" s="39">
        <v>3.919999999999999</v>
      </c>
      <c r="K482" s="92"/>
      <c r="L482" s="42" t="s">
        <v>1306</v>
      </c>
      <c r="M482" s="43"/>
      <c r="N482" s="43"/>
      <c r="O482" s="43"/>
      <c r="P482" s="111"/>
      <c r="Q482" s="84"/>
      <c r="R482" s="84"/>
      <c r="S482" s="84"/>
      <c r="T482" s="84"/>
      <c r="U482" s="84"/>
      <c r="V482" s="84"/>
      <c r="W482" s="84"/>
      <c r="X482" s="84"/>
      <c r="Y482" s="84"/>
      <c r="Z482" s="39">
        <v>3.919999999999999</v>
      </c>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78"/>
      <c r="BK482" s="84"/>
      <c r="BL482" s="44"/>
      <c r="BM482" s="79">
        <f t="shared" si="56"/>
        <v>0</v>
      </c>
      <c r="BN482" s="75"/>
      <c r="BO482" s="75"/>
    </row>
    <row r="483" spans="1:67" s="62" customFormat="1" ht="103.5" customHeight="1" x14ac:dyDescent="0.3">
      <c r="A483" s="220"/>
      <c r="B483" s="42" t="s">
        <v>1302</v>
      </c>
      <c r="C483" s="48" t="s">
        <v>42</v>
      </c>
      <c r="D483" s="41">
        <v>15.77</v>
      </c>
      <c r="E483" s="41">
        <v>4.6500000000000004</v>
      </c>
      <c r="F483" s="41">
        <v>11.12</v>
      </c>
      <c r="G483" s="41">
        <v>7.2</v>
      </c>
      <c r="H483" s="39"/>
      <c r="I483" s="39"/>
      <c r="J483" s="39">
        <v>3.919999999999999</v>
      </c>
      <c r="K483" s="92"/>
      <c r="L483" s="42" t="s">
        <v>1307</v>
      </c>
      <c r="M483" s="43"/>
      <c r="N483" s="43"/>
      <c r="O483" s="43"/>
      <c r="P483" s="111"/>
      <c r="Q483" s="84"/>
      <c r="R483" s="84"/>
      <c r="S483" s="84"/>
      <c r="T483" s="84"/>
      <c r="U483" s="84"/>
      <c r="V483" s="84"/>
      <c r="W483" s="84"/>
      <c r="X483" s="84"/>
      <c r="Y483" s="84"/>
      <c r="Z483" s="39">
        <v>3.919999999999999</v>
      </c>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78"/>
      <c r="BK483" s="84"/>
      <c r="BL483" s="44"/>
      <c r="BM483" s="79">
        <f t="shared" si="56"/>
        <v>0</v>
      </c>
      <c r="BN483" s="75"/>
      <c r="BO483" s="75"/>
    </row>
    <row r="484" spans="1:67" s="62" customFormat="1" ht="103.5" customHeight="1" x14ac:dyDescent="0.3">
      <c r="A484" s="220"/>
      <c r="B484" s="42" t="s">
        <v>1303</v>
      </c>
      <c r="C484" s="48" t="s">
        <v>42</v>
      </c>
      <c r="D484" s="41">
        <v>15.76</v>
      </c>
      <c r="E484" s="41">
        <v>4.6500000000000004</v>
      </c>
      <c r="F484" s="41">
        <v>11.11</v>
      </c>
      <c r="G484" s="41">
        <v>7.2</v>
      </c>
      <c r="H484" s="39"/>
      <c r="I484" s="39"/>
      <c r="J484" s="39">
        <v>3.9099999999999993</v>
      </c>
      <c r="K484" s="92"/>
      <c r="L484" s="42" t="s">
        <v>1308</v>
      </c>
      <c r="M484" s="43"/>
      <c r="N484" s="43"/>
      <c r="O484" s="43"/>
      <c r="P484" s="111"/>
      <c r="Q484" s="84"/>
      <c r="R484" s="84"/>
      <c r="S484" s="84"/>
      <c r="T484" s="84"/>
      <c r="U484" s="84"/>
      <c r="V484" s="84"/>
      <c r="W484" s="84"/>
      <c r="X484" s="84"/>
      <c r="Y484" s="84"/>
      <c r="Z484" s="39">
        <v>3.9099999999999993</v>
      </c>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78"/>
      <c r="BK484" s="84"/>
      <c r="BL484" s="44"/>
      <c r="BM484" s="79">
        <f t="shared" si="56"/>
        <v>0</v>
      </c>
      <c r="BN484" s="75"/>
      <c r="BO484" s="75"/>
    </row>
    <row r="485" spans="1:67" s="62" customFormat="1" ht="103.5" customHeight="1" x14ac:dyDescent="0.3">
      <c r="A485" s="221"/>
      <c r="B485" s="42" t="s">
        <v>1304</v>
      </c>
      <c r="C485" s="48" t="s">
        <v>42</v>
      </c>
      <c r="D485" s="41">
        <v>15.76</v>
      </c>
      <c r="E485" s="41">
        <v>4.6500000000000004</v>
      </c>
      <c r="F485" s="41">
        <v>11.11</v>
      </c>
      <c r="G485" s="41">
        <v>7.2</v>
      </c>
      <c r="H485" s="39"/>
      <c r="I485" s="39"/>
      <c r="J485" s="39">
        <v>3.9099999999999993</v>
      </c>
      <c r="K485" s="92"/>
      <c r="L485" s="42" t="s">
        <v>1309</v>
      </c>
      <c r="M485" s="43"/>
      <c r="N485" s="43"/>
      <c r="O485" s="43"/>
      <c r="P485" s="111"/>
      <c r="Q485" s="84"/>
      <c r="R485" s="84"/>
      <c r="S485" s="84"/>
      <c r="T485" s="84"/>
      <c r="U485" s="84"/>
      <c r="V485" s="84"/>
      <c r="W485" s="84"/>
      <c r="X485" s="84"/>
      <c r="Y485" s="84"/>
      <c r="Z485" s="39">
        <v>3.9099999999999993</v>
      </c>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78"/>
      <c r="BK485" s="84"/>
      <c r="BL485" s="44"/>
      <c r="BM485" s="79">
        <f t="shared" si="56"/>
        <v>0</v>
      </c>
      <c r="BN485" s="75"/>
      <c r="BO485" s="75"/>
    </row>
    <row r="486" spans="1:67" s="4" customFormat="1" ht="102.75" customHeight="1" x14ac:dyDescent="0.3">
      <c r="A486" s="48">
        <v>25</v>
      </c>
      <c r="B486" s="42" t="s">
        <v>422</v>
      </c>
      <c r="C486" s="48" t="s">
        <v>42</v>
      </c>
      <c r="D486" s="108">
        <v>1.3</v>
      </c>
      <c r="E486" s="108"/>
      <c r="F486" s="108">
        <v>1.3</v>
      </c>
      <c r="G486" s="39">
        <v>0.5</v>
      </c>
      <c r="H486" s="39"/>
      <c r="I486" s="39"/>
      <c r="J486" s="39">
        <f>SUM(P486:BG486)</f>
        <v>0.8</v>
      </c>
      <c r="K486" s="92"/>
      <c r="L486" s="42" t="s">
        <v>415</v>
      </c>
      <c r="M486" s="44">
        <v>47</v>
      </c>
      <c r="N486" s="209">
        <v>392</v>
      </c>
      <c r="O486" s="4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v>0.8</v>
      </c>
      <c r="BD486" s="84"/>
      <c r="BE486" s="84"/>
      <c r="BF486" s="84"/>
      <c r="BG486" s="84"/>
      <c r="BH486" s="84"/>
      <c r="BI486" s="84"/>
      <c r="BJ486" s="78">
        <f t="shared" si="54"/>
        <v>0</v>
      </c>
      <c r="BK486" s="84"/>
      <c r="BL486" s="44">
        <v>23</v>
      </c>
      <c r="BM486" s="79">
        <f t="shared" si="56"/>
        <v>0</v>
      </c>
      <c r="BN486" s="75"/>
      <c r="BO486" s="75"/>
    </row>
    <row r="487" spans="1:67" s="4" customFormat="1" ht="64.5" customHeight="1" x14ac:dyDescent="0.3">
      <c r="A487" s="48">
        <v>26</v>
      </c>
      <c r="B487" s="102" t="s">
        <v>674</v>
      </c>
      <c r="C487" s="96" t="s">
        <v>42</v>
      </c>
      <c r="D487" s="104">
        <v>21.6</v>
      </c>
      <c r="E487" s="104">
        <v>6.48</v>
      </c>
      <c r="F487" s="104">
        <v>15.120000000000001</v>
      </c>
      <c r="G487" s="104">
        <v>1.94</v>
      </c>
      <c r="H487" s="104"/>
      <c r="I487" s="104"/>
      <c r="J487" s="104">
        <v>13.180000000000001</v>
      </c>
      <c r="K487" s="102" t="s">
        <v>766</v>
      </c>
      <c r="L487" s="102" t="s">
        <v>675</v>
      </c>
      <c r="M487" s="44" t="s">
        <v>672</v>
      </c>
      <c r="N487" s="209">
        <v>393</v>
      </c>
      <c r="O487" s="4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v>13.18</v>
      </c>
      <c r="BF487" s="84"/>
      <c r="BG487" s="84"/>
      <c r="BH487" s="84"/>
      <c r="BI487" s="84"/>
      <c r="BJ487" s="78">
        <f t="shared" si="54"/>
        <v>0</v>
      </c>
      <c r="BK487" s="84"/>
      <c r="BL487" s="44">
        <v>23</v>
      </c>
      <c r="BM487" s="79">
        <f t="shared" si="56"/>
        <v>0</v>
      </c>
      <c r="BN487" s="75"/>
      <c r="BO487" s="75"/>
    </row>
    <row r="488" spans="1:67" s="4" customFormat="1" ht="31.2" x14ac:dyDescent="0.3">
      <c r="A488" s="48">
        <v>27</v>
      </c>
      <c r="B488" s="42" t="s">
        <v>726</v>
      </c>
      <c r="C488" s="43" t="s">
        <v>42</v>
      </c>
      <c r="D488" s="41">
        <v>0.19</v>
      </c>
      <c r="E488" s="41"/>
      <c r="F488" s="41">
        <v>0.19</v>
      </c>
      <c r="G488" s="41">
        <v>0</v>
      </c>
      <c r="H488" s="41"/>
      <c r="I488" s="41"/>
      <c r="J488" s="41">
        <v>0.19</v>
      </c>
      <c r="K488" s="42" t="s">
        <v>859</v>
      </c>
      <c r="L488" s="42" t="s">
        <v>688</v>
      </c>
      <c r="M488" s="43">
        <v>34</v>
      </c>
      <c r="N488" s="210">
        <v>394</v>
      </c>
      <c r="O488" s="43"/>
      <c r="P488" s="97"/>
      <c r="Q488" s="97"/>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7"/>
      <c r="AW488" s="97"/>
      <c r="AX488" s="97"/>
      <c r="AY488" s="97"/>
      <c r="AZ488" s="97"/>
      <c r="BA488" s="97"/>
      <c r="BB488" s="97"/>
      <c r="BC488" s="97"/>
      <c r="BD488" s="97"/>
      <c r="BE488" s="100">
        <v>0.19</v>
      </c>
      <c r="BF488" s="97"/>
      <c r="BG488" s="97"/>
      <c r="BH488" s="97"/>
      <c r="BI488" s="97"/>
      <c r="BJ488" s="78">
        <f t="shared" si="54"/>
        <v>0</v>
      </c>
      <c r="BK488" s="97"/>
      <c r="BL488" s="97">
        <v>23</v>
      </c>
      <c r="BM488" s="79">
        <f t="shared" si="56"/>
        <v>0</v>
      </c>
      <c r="BN488" s="75"/>
      <c r="BO488" s="75"/>
    </row>
    <row r="489" spans="1:67" s="4" customFormat="1" ht="31.2" x14ac:dyDescent="0.3">
      <c r="A489" s="48">
        <v>28</v>
      </c>
      <c r="B489" s="42" t="s">
        <v>727</v>
      </c>
      <c r="C489" s="43" t="s">
        <v>42</v>
      </c>
      <c r="D489" s="41">
        <v>1.65</v>
      </c>
      <c r="E489" s="41"/>
      <c r="F489" s="41">
        <v>1.65</v>
      </c>
      <c r="G489" s="41">
        <v>0.28000000000000003</v>
      </c>
      <c r="H489" s="41"/>
      <c r="I489" s="41"/>
      <c r="J489" s="41">
        <v>1.37</v>
      </c>
      <c r="K489" s="42" t="s">
        <v>867</v>
      </c>
      <c r="L489" s="42" t="s">
        <v>688</v>
      </c>
      <c r="M489" s="49">
        <v>48</v>
      </c>
      <c r="N489" s="208">
        <v>395</v>
      </c>
      <c r="O489" s="49"/>
      <c r="P489" s="173"/>
      <c r="Q489" s="173"/>
      <c r="R489" s="173"/>
      <c r="S489" s="173"/>
      <c r="T489" s="173"/>
      <c r="U489" s="173"/>
      <c r="V489" s="173"/>
      <c r="W489" s="173"/>
      <c r="X489" s="173"/>
      <c r="Y489" s="173"/>
      <c r="Z489" s="173"/>
      <c r="AA489" s="173"/>
      <c r="AB489" s="173"/>
      <c r="AC489" s="173"/>
      <c r="AD489" s="173"/>
      <c r="AE489" s="173"/>
      <c r="AF489" s="173"/>
      <c r="AG489" s="173"/>
      <c r="AH489" s="173"/>
      <c r="AI489" s="173"/>
      <c r="AJ489" s="173"/>
      <c r="AK489" s="173"/>
      <c r="AL489" s="173"/>
      <c r="AM489" s="173"/>
      <c r="AN489" s="173"/>
      <c r="AO489" s="173"/>
      <c r="AP489" s="173"/>
      <c r="AQ489" s="173"/>
      <c r="AR489" s="49"/>
      <c r="AS489" s="49"/>
      <c r="AT489" s="49"/>
      <c r="AU489" s="49"/>
      <c r="AV489" s="49"/>
      <c r="AW489" s="49"/>
      <c r="AX489" s="49"/>
      <c r="AY489" s="49"/>
      <c r="AZ489" s="49"/>
      <c r="BA489" s="49"/>
      <c r="BB489" s="49"/>
      <c r="BC489" s="49"/>
      <c r="BD489" s="49"/>
      <c r="BE489" s="49">
        <f>1.1+0.27</f>
        <v>1.37</v>
      </c>
      <c r="BF489" s="173"/>
      <c r="BG489" s="173"/>
      <c r="BH489" s="173"/>
      <c r="BI489" s="173"/>
      <c r="BJ489" s="78">
        <f t="shared" si="54"/>
        <v>0</v>
      </c>
      <c r="BK489" s="174"/>
      <c r="BL489" s="97">
        <v>23</v>
      </c>
      <c r="BM489" s="79">
        <f t="shared" si="56"/>
        <v>0</v>
      </c>
      <c r="BN489" s="75"/>
      <c r="BO489" s="75"/>
    </row>
    <row r="490" spans="1:67" s="4" customFormat="1" ht="43.5" customHeight="1" x14ac:dyDescent="0.3">
      <c r="A490" s="48">
        <v>29</v>
      </c>
      <c r="B490" s="160" t="s">
        <v>854</v>
      </c>
      <c r="C490" s="43" t="s">
        <v>42</v>
      </c>
      <c r="D490" s="41">
        <v>1.9</v>
      </c>
      <c r="E490" s="41"/>
      <c r="F490" s="41">
        <v>1.9</v>
      </c>
      <c r="G490" s="41">
        <v>0.9</v>
      </c>
      <c r="H490" s="41"/>
      <c r="I490" s="41"/>
      <c r="J490" s="41">
        <v>1</v>
      </c>
      <c r="K490" s="42" t="s">
        <v>855</v>
      </c>
      <c r="L490" s="42" t="s">
        <v>688</v>
      </c>
      <c r="M490" s="49">
        <v>57</v>
      </c>
      <c r="N490" s="208">
        <v>396</v>
      </c>
      <c r="O490" s="49"/>
      <c r="P490" s="49"/>
      <c r="Q490" s="49"/>
      <c r="R490" s="49"/>
      <c r="S490" s="49"/>
      <c r="T490" s="49"/>
      <c r="U490" s="49"/>
      <c r="V490" s="49"/>
      <c r="W490" s="49"/>
      <c r="X490" s="49"/>
      <c r="Y490" s="49"/>
      <c r="Z490" s="49">
        <v>1</v>
      </c>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78">
        <f t="shared" si="54"/>
        <v>0</v>
      </c>
      <c r="BK490" s="49" t="s">
        <v>721</v>
      </c>
      <c r="BL490" s="97">
        <v>23</v>
      </c>
      <c r="BM490" s="79">
        <f t="shared" si="56"/>
        <v>0</v>
      </c>
      <c r="BN490" s="75"/>
      <c r="BO490" s="75"/>
    </row>
    <row r="491" spans="1:67" s="4" customFormat="1" ht="52.5" customHeight="1" x14ac:dyDescent="0.3">
      <c r="A491" s="48">
        <v>30</v>
      </c>
      <c r="B491" s="160" t="s">
        <v>856</v>
      </c>
      <c r="C491" s="43" t="s">
        <v>42</v>
      </c>
      <c r="D491" s="41">
        <v>0.92</v>
      </c>
      <c r="E491" s="41"/>
      <c r="F491" s="41">
        <v>0.92</v>
      </c>
      <c r="G491" s="41">
        <v>0.92</v>
      </c>
      <c r="H491" s="41"/>
      <c r="I491" s="41"/>
      <c r="J491" s="41"/>
      <c r="K491" s="42" t="s">
        <v>857</v>
      </c>
      <c r="L491" s="42" t="s">
        <v>688</v>
      </c>
      <c r="M491" s="49">
        <v>58</v>
      </c>
      <c r="N491" s="208">
        <v>397</v>
      </c>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78">
        <f t="shared" si="54"/>
        <v>0</v>
      </c>
      <c r="BK491" s="49" t="s">
        <v>721</v>
      </c>
      <c r="BL491" s="97">
        <v>23</v>
      </c>
      <c r="BM491" s="79">
        <f t="shared" si="56"/>
        <v>0</v>
      </c>
      <c r="BN491" s="75"/>
      <c r="BO491" s="75"/>
    </row>
    <row r="492" spans="1:67" s="4" customFormat="1" ht="31.2" x14ac:dyDescent="0.3">
      <c r="A492" s="48">
        <v>31</v>
      </c>
      <c r="B492" s="42" t="s">
        <v>844</v>
      </c>
      <c r="C492" s="48" t="s">
        <v>42</v>
      </c>
      <c r="D492" s="41">
        <v>9</v>
      </c>
      <c r="E492" s="39"/>
      <c r="F492" s="41">
        <v>9</v>
      </c>
      <c r="G492" s="41"/>
      <c r="H492" s="41"/>
      <c r="I492" s="39"/>
      <c r="J492" s="107">
        <v>9</v>
      </c>
      <c r="K492" s="42" t="s">
        <v>845</v>
      </c>
      <c r="L492" s="42" t="s">
        <v>247</v>
      </c>
      <c r="M492" s="48">
        <v>57</v>
      </c>
      <c r="N492" s="206">
        <v>398</v>
      </c>
      <c r="O492" s="48"/>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v>9</v>
      </c>
      <c r="BE492" s="118"/>
      <c r="BF492" s="84"/>
      <c r="BG492" s="84"/>
      <c r="BH492" s="84"/>
      <c r="BI492" s="84"/>
      <c r="BJ492" s="78">
        <f t="shared" si="54"/>
        <v>0</v>
      </c>
      <c r="BK492" s="84"/>
      <c r="BL492" s="44">
        <v>41</v>
      </c>
      <c r="BM492" s="79">
        <f t="shared" si="56"/>
        <v>0</v>
      </c>
      <c r="BN492" s="75"/>
      <c r="BO492" s="75"/>
    </row>
    <row r="493" spans="1:67" x14ac:dyDescent="0.3">
      <c r="A493" s="76" t="s">
        <v>625</v>
      </c>
      <c r="B493" s="77" t="s">
        <v>626</v>
      </c>
      <c r="C493" s="76" t="s">
        <v>35</v>
      </c>
      <c r="D493" s="85">
        <f>SUM(D494:D497)</f>
        <v>0.77</v>
      </c>
      <c r="E493" s="85">
        <f t="shared" ref="E493:BH493" si="57">SUM(E494:E497)</f>
        <v>0</v>
      </c>
      <c r="F493" s="85">
        <f t="shared" si="57"/>
        <v>0.77</v>
      </c>
      <c r="G493" s="85">
        <f t="shared" si="57"/>
        <v>0</v>
      </c>
      <c r="H493" s="85">
        <f t="shared" si="57"/>
        <v>0</v>
      </c>
      <c r="I493" s="85">
        <f t="shared" si="57"/>
        <v>0</v>
      </c>
      <c r="J493" s="85">
        <f t="shared" si="57"/>
        <v>0.77</v>
      </c>
      <c r="K493" s="86">
        <f t="shared" si="57"/>
        <v>0</v>
      </c>
      <c r="L493" s="86">
        <f t="shared" si="57"/>
        <v>0</v>
      </c>
      <c r="M493" s="85"/>
      <c r="N493" s="85"/>
      <c r="O493" s="85"/>
      <c r="P493" s="85">
        <f t="shared" si="57"/>
        <v>0</v>
      </c>
      <c r="Q493" s="85">
        <f t="shared" si="57"/>
        <v>0</v>
      </c>
      <c r="R493" s="85">
        <f t="shared" si="57"/>
        <v>0</v>
      </c>
      <c r="S493" s="85">
        <f t="shared" si="57"/>
        <v>0</v>
      </c>
      <c r="T493" s="85">
        <f t="shared" si="57"/>
        <v>0</v>
      </c>
      <c r="U493" s="85">
        <f t="shared" si="57"/>
        <v>0</v>
      </c>
      <c r="V493" s="85">
        <f t="shared" si="57"/>
        <v>0</v>
      </c>
      <c r="W493" s="85">
        <f t="shared" si="57"/>
        <v>0</v>
      </c>
      <c r="X493" s="85">
        <f t="shared" si="57"/>
        <v>0</v>
      </c>
      <c r="Y493" s="85">
        <f t="shared" si="57"/>
        <v>0</v>
      </c>
      <c r="Z493" s="85">
        <f t="shared" si="57"/>
        <v>0.35</v>
      </c>
      <c r="AA493" s="85">
        <f t="shared" si="57"/>
        <v>0</v>
      </c>
      <c r="AB493" s="85">
        <f t="shared" si="57"/>
        <v>0</v>
      </c>
      <c r="AC493" s="85">
        <f t="shared" si="57"/>
        <v>0</v>
      </c>
      <c r="AD493" s="85">
        <f t="shared" si="57"/>
        <v>0</v>
      </c>
      <c r="AE493" s="85">
        <f t="shared" si="57"/>
        <v>0.06</v>
      </c>
      <c r="AF493" s="85">
        <f t="shared" si="57"/>
        <v>0</v>
      </c>
      <c r="AG493" s="85">
        <f t="shared" si="57"/>
        <v>0</v>
      </c>
      <c r="AH493" s="85">
        <f t="shared" si="57"/>
        <v>0</v>
      </c>
      <c r="AI493" s="85">
        <f t="shared" si="57"/>
        <v>0</v>
      </c>
      <c r="AJ493" s="85">
        <f t="shared" si="57"/>
        <v>0</v>
      </c>
      <c r="AK493" s="85">
        <f t="shared" si="57"/>
        <v>0</v>
      </c>
      <c r="AL493" s="85">
        <f t="shared" si="57"/>
        <v>0</v>
      </c>
      <c r="AM493" s="85">
        <f t="shared" si="57"/>
        <v>0</v>
      </c>
      <c r="AN493" s="85">
        <f t="shared" si="57"/>
        <v>0</v>
      </c>
      <c r="AO493" s="85">
        <f t="shared" si="57"/>
        <v>0</v>
      </c>
      <c r="AP493" s="85">
        <f t="shared" si="57"/>
        <v>0</v>
      </c>
      <c r="AQ493" s="85">
        <f t="shared" si="57"/>
        <v>0</v>
      </c>
      <c r="AR493" s="85">
        <f t="shared" si="57"/>
        <v>0</v>
      </c>
      <c r="AS493" s="85">
        <f t="shared" si="57"/>
        <v>0</v>
      </c>
      <c r="AT493" s="85">
        <f t="shared" si="57"/>
        <v>0</v>
      </c>
      <c r="AU493" s="85">
        <f t="shared" si="57"/>
        <v>0</v>
      </c>
      <c r="AV493" s="85">
        <f t="shared" si="57"/>
        <v>0</v>
      </c>
      <c r="AW493" s="85">
        <f t="shared" si="57"/>
        <v>0</v>
      </c>
      <c r="AX493" s="85">
        <f t="shared" si="57"/>
        <v>0</v>
      </c>
      <c r="AY493" s="85">
        <f t="shared" si="57"/>
        <v>0</v>
      </c>
      <c r="AZ493" s="85">
        <f t="shared" si="57"/>
        <v>0</v>
      </c>
      <c r="BA493" s="85">
        <f t="shared" si="57"/>
        <v>0</v>
      </c>
      <c r="BB493" s="85">
        <f t="shared" si="57"/>
        <v>0</v>
      </c>
      <c r="BC493" s="85">
        <f t="shared" si="57"/>
        <v>0</v>
      </c>
      <c r="BD493" s="85">
        <f t="shared" si="57"/>
        <v>0</v>
      </c>
      <c r="BE493" s="85">
        <f t="shared" si="57"/>
        <v>0.36</v>
      </c>
      <c r="BF493" s="85">
        <f t="shared" si="57"/>
        <v>0</v>
      </c>
      <c r="BG493" s="85">
        <f t="shared" si="57"/>
        <v>0</v>
      </c>
      <c r="BH493" s="85">
        <f t="shared" si="57"/>
        <v>0</v>
      </c>
      <c r="BI493" s="85"/>
      <c r="BJ493" s="78">
        <f t="shared" si="54"/>
        <v>0</v>
      </c>
      <c r="BK493" s="84"/>
      <c r="BL493" s="44">
        <v>24</v>
      </c>
      <c r="BM493" s="79">
        <f t="shared" si="56"/>
        <v>0</v>
      </c>
      <c r="BN493" s="75"/>
      <c r="BO493" s="75"/>
    </row>
    <row r="494" spans="1:67" s="4" customFormat="1" ht="36" customHeight="1" x14ac:dyDescent="0.3">
      <c r="A494" s="48">
        <v>1</v>
      </c>
      <c r="B494" s="94" t="s">
        <v>274</v>
      </c>
      <c r="C494" s="48" t="s">
        <v>35</v>
      </c>
      <c r="D494" s="39">
        <v>0.16</v>
      </c>
      <c r="E494" s="39"/>
      <c r="F494" s="39">
        <v>0.16</v>
      </c>
      <c r="G494" s="39"/>
      <c r="H494" s="39"/>
      <c r="I494" s="39"/>
      <c r="J494" s="39">
        <v>0.16</v>
      </c>
      <c r="K494" s="42" t="s">
        <v>978</v>
      </c>
      <c r="L494" s="42" t="s">
        <v>261</v>
      </c>
      <c r="M494" s="48">
        <v>24</v>
      </c>
      <c r="N494" s="206">
        <v>399</v>
      </c>
      <c r="O494" s="48"/>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118">
        <v>0.16</v>
      </c>
      <c r="BF494" s="84"/>
      <c r="BG494" s="84"/>
      <c r="BH494" s="84"/>
      <c r="BI494" s="84"/>
      <c r="BJ494" s="78">
        <f t="shared" si="54"/>
        <v>0</v>
      </c>
      <c r="BK494" s="84"/>
      <c r="BL494" s="44">
        <v>24</v>
      </c>
      <c r="BM494" s="79">
        <f t="shared" si="56"/>
        <v>0</v>
      </c>
      <c r="BN494" s="75"/>
      <c r="BO494" s="75"/>
    </row>
    <row r="495" spans="1:67" s="4" customFormat="1" ht="45.75" customHeight="1" x14ac:dyDescent="0.3">
      <c r="A495" s="48">
        <v>2</v>
      </c>
      <c r="B495" s="42" t="s">
        <v>524</v>
      </c>
      <c r="C495" s="43" t="s">
        <v>35</v>
      </c>
      <c r="D495" s="41">
        <v>0.2</v>
      </c>
      <c r="E495" s="41"/>
      <c r="F495" s="41">
        <v>0.2</v>
      </c>
      <c r="G495" s="39"/>
      <c r="H495" s="39"/>
      <c r="I495" s="39"/>
      <c r="J495" s="39">
        <v>0.2</v>
      </c>
      <c r="K495" s="42" t="s">
        <v>280</v>
      </c>
      <c r="L495" s="42" t="s">
        <v>280</v>
      </c>
      <c r="M495" s="43">
        <v>15</v>
      </c>
      <c r="N495" s="210">
        <v>400</v>
      </c>
      <c r="O495" s="43"/>
      <c r="P495" s="84"/>
      <c r="Q495" s="84"/>
      <c r="R495" s="84"/>
      <c r="S495" s="84"/>
      <c r="T495" s="84"/>
      <c r="U495" s="84"/>
      <c r="V495" s="84"/>
      <c r="W495" s="84"/>
      <c r="X495" s="84"/>
      <c r="Y495" s="84"/>
      <c r="Z495" s="84"/>
      <c r="AA495" s="84"/>
      <c r="AB495" s="84"/>
      <c r="AC495" s="84"/>
      <c r="AD495" s="84"/>
      <c r="AE495" s="84"/>
      <c r="AF495" s="84"/>
      <c r="AG495" s="118"/>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v>0.2</v>
      </c>
      <c r="BF495" s="84"/>
      <c r="BG495" s="84"/>
      <c r="BH495" s="84"/>
      <c r="BI495" s="84"/>
      <c r="BJ495" s="78">
        <f t="shared" si="54"/>
        <v>0</v>
      </c>
      <c r="BK495" s="84"/>
      <c r="BL495" s="44">
        <v>24</v>
      </c>
      <c r="BM495" s="79">
        <f t="shared" si="56"/>
        <v>0</v>
      </c>
      <c r="BN495" s="75"/>
      <c r="BO495" s="75"/>
    </row>
    <row r="496" spans="1:67" s="4" customFormat="1" ht="31.2" x14ac:dyDescent="0.3">
      <c r="A496" s="48">
        <v>3</v>
      </c>
      <c r="B496" s="42" t="s">
        <v>1251</v>
      </c>
      <c r="C496" s="48" t="s">
        <v>35</v>
      </c>
      <c r="D496" s="39">
        <v>0.06</v>
      </c>
      <c r="E496" s="39"/>
      <c r="F496" s="39">
        <v>0.06</v>
      </c>
      <c r="G496" s="39"/>
      <c r="H496" s="39"/>
      <c r="I496" s="39"/>
      <c r="J496" s="39">
        <f>SUM(P496:BG496)</f>
        <v>0.06</v>
      </c>
      <c r="K496" s="92" t="s">
        <v>780</v>
      </c>
      <c r="L496" s="42" t="s">
        <v>415</v>
      </c>
      <c r="M496" s="44">
        <v>42</v>
      </c>
      <c r="N496" s="209">
        <v>401</v>
      </c>
      <c r="O496" s="44"/>
      <c r="P496" s="84"/>
      <c r="Q496" s="84"/>
      <c r="R496" s="84"/>
      <c r="S496" s="84"/>
      <c r="T496" s="84"/>
      <c r="U496" s="84"/>
      <c r="V496" s="84"/>
      <c r="W496" s="84"/>
      <c r="X496" s="84"/>
      <c r="Y496" s="84"/>
      <c r="Z496" s="84"/>
      <c r="AA496" s="84"/>
      <c r="AB496" s="84"/>
      <c r="AC496" s="84"/>
      <c r="AD496" s="84"/>
      <c r="AE496" s="84">
        <v>0.06</v>
      </c>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78">
        <f t="shared" si="54"/>
        <v>0</v>
      </c>
      <c r="BK496" s="84"/>
      <c r="BL496" s="44">
        <v>24</v>
      </c>
      <c r="BM496" s="79">
        <f t="shared" si="56"/>
        <v>0</v>
      </c>
      <c r="BN496" s="75"/>
      <c r="BO496" s="75"/>
    </row>
    <row r="497" spans="1:67" s="4" customFormat="1" ht="31.2" x14ac:dyDescent="0.3">
      <c r="A497" s="48">
        <v>4</v>
      </c>
      <c r="B497" s="42" t="s">
        <v>728</v>
      </c>
      <c r="C497" s="43" t="s">
        <v>35</v>
      </c>
      <c r="D497" s="41">
        <v>0.35</v>
      </c>
      <c r="E497" s="41"/>
      <c r="F497" s="41">
        <v>0.35</v>
      </c>
      <c r="G497" s="41"/>
      <c r="H497" s="41"/>
      <c r="I497" s="41"/>
      <c r="J497" s="41">
        <v>0.35</v>
      </c>
      <c r="K497" s="42" t="s">
        <v>688</v>
      </c>
      <c r="L497" s="42" t="s">
        <v>688</v>
      </c>
      <c r="M497" s="43">
        <v>29</v>
      </c>
      <c r="N497" s="210">
        <v>402</v>
      </c>
      <c r="O497" s="43"/>
      <c r="P497" s="97"/>
      <c r="Q497" s="97"/>
      <c r="R497" s="97"/>
      <c r="S497" s="97"/>
      <c r="T497" s="97"/>
      <c r="U497" s="97"/>
      <c r="V497" s="97"/>
      <c r="W497" s="97"/>
      <c r="X497" s="97"/>
      <c r="Y497" s="97"/>
      <c r="Z497" s="97">
        <v>0.35</v>
      </c>
      <c r="AA497" s="97"/>
      <c r="AB497" s="97"/>
      <c r="AC497" s="97"/>
      <c r="AD497" s="97"/>
      <c r="AE497" s="97"/>
      <c r="AF497" s="97"/>
      <c r="AG497" s="100"/>
      <c r="AH497" s="97"/>
      <c r="AI497" s="97"/>
      <c r="AJ497" s="97"/>
      <c r="AK497" s="97"/>
      <c r="AL497" s="97"/>
      <c r="AM497" s="97"/>
      <c r="AN497" s="97"/>
      <c r="AO497" s="97"/>
      <c r="AP497" s="97"/>
      <c r="AQ497" s="97"/>
      <c r="AR497" s="97"/>
      <c r="AS497" s="97"/>
      <c r="AT497" s="97"/>
      <c r="AU497" s="97"/>
      <c r="AV497" s="97"/>
      <c r="AW497" s="97"/>
      <c r="AX497" s="97"/>
      <c r="AY497" s="97"/>
      <c r="AZ497" s="97"/>
      <c r="BA497" s="97"/>
      <c r="BB497" s="97"/>
      <c r="BC497" s="97"/>
      <c r="BD497" s="97"/>
      <c r="BE497" s="97"/>
      <c r="BF497" s="97"/>
      <c r="BG497" s="97"/>
      <c r="BH497" s="97"/>
      <c r="BI497" s="97"/>
      <c r="BJ497" s="78">
        <f t="shared" si="54"/>
        <v>0</v>
      </c>
      <c r="BK497" s="97"/>
      <c r="BL497" s="97">
        <v>24</v>
      </c>
      <c r="BM497" s="79">
        <f t="shared" si="56"/>
        <v>0</v>
      </c>
      <c r="BN497" s="75"/>
      <c r="BO497" s="75"/>
    </row>
    <row r="498" spans="1:67" x14ac:dyDescent="0.3">
      <c r="A498" s="76" t="s">
        <v>627</v>
      </c>
      <c r="B498" s="77" t="s">
        <v>628</v>
      </c>
      <c r="C498" s="80" t="s">
        <v>37</v>
      </c>
      <c r="D498" s="81">
        <f>D499+D500+D501</f>
        <v>0.63</v>
      </c>
      <c r="E498" s="81">
        <f t="shared" ref="E498:BH498" si="58">E499+E500+E501</f>
        <v>0</v>
      </c>
      <c r="F498" s="81">
        <f t="shared" si="58"/>
        <v>0.63</v>
      </c>
      <c r="G498" s="81">
        <f t="shared" si="58"/>
        <v>0</v>
      </c>
      <c r="H498" s="81">
        <f t="shared" si="58"/>
        <v>0</v>
      </c>
      <c r="I498" s="81">
        <f t="shared" si="58"/>
        <v>0</v>
      </c>
      <c r="J498" s="81">
        <f t="shared" si="58"/>
        <v>0.63</v>
      </c>
      <c r="K498" s="81"/>
      <c r="L498" s="81"/>
      <c r="M498" s="81">
        <f t="shared" si="58"/>
        <v>82</v>
      </c>
      <c r="N498" s="81"/>
      <c r="O498" s="81">
        <f t="shared" si="58"/>
        <v>0</v>
      </c>
      <c r="P498" s="81">
        <f t="shared" si="58"/>
        <v>0</v>
      </c>
      <c r="Q498" s="81">
        <f t="shared" si="58"/>
        <v>0</v>
      </c>
      <c r="R498" s="81">
        <f t="shared" si="58"/>
        <v>0</v>
      </c>
      <c r="S498" s="81">
        <f t="shared" si="58"/>
        <v>0</v>
      </c>
      <c r="T498" s="81">
        <f t="shared" si="58"/>
        <v>0</v>
      </c>
      <c r="U498" s="81">
        <f t="shared" si="58"/>
        <v>0</v>
      </c>
      <c r="V498" s="81">
        <f t="shared" si="58"/>
        <v>0</v>
      </c>
      <c r="W498" s="81">
        <f t="shared" si="58"/>
        <v>0</v>
      </c>
      <c r="X498" s="81">
        <f t="shared" si="58"/>
        <v>0</v>
      </c>
      <c r="Y498" s="81">
        <f t="shared" si="58"/>
        <v>0</v>
      </c>
      <c r="Z498" s="81">
        <f t="shared" si="58"/>
        <v>0.42</v>
      </c>
      <c r="AA498" s="81">
        <f t="shared" si="58"/>
        <v>0</v>
      </c>
      <c r="AB498" s="81">
        <f t="shared" si="58"/>
        <v>0</v>
      </c>
      <c r="AC498" s="81">
        <f t="shared" si="58"/>
        <v>0</v>
      </c>
      <c r="AD498" s="81">
        <f t="shared" si="58"/>
        <v>0</v>
      </c>
      <c r="AE498" s="81">
        <f t="shared" si="58"/>
        <v>0</v>
      </c>
      <c r="AF498" s="81">
        <f t="shared" si="58"/>
        <v>0</v>
      </c>
      <c r="AG498" s="81">
        <f t="shared" si="58"/>
        <v>0</v>
      </c>
      <c r="AH498" s="81">
        <f t="shared" si="58"/>
        <v>0</v>
      </c>
      <c r="AI498" s="81">
        <f t="shared" si="58"/>
        <v>0</v>
      </c>
      <c r="AJ498" s="81">
        <f t="shared" si="58"/>
        <v>0</v>
      </c>
      <c r="AK498" s="81">
        <f t="shared" si="58"/>
        <v>0</v>
      </c>
      <c r="AL498" s="81">
        <f t="shared" si="58"/>
        <v>0</v>
      </c>
      <c r="AM498" s="81">
        <f t="shared" si="58"/>
        <v>0.16</v>
      </c>
      <c r="AN498" s="81">
        <f t="shared" si="58"/>
        <v>0</v>
      </c>
      <c r="AO498" s="81">
        <f t="shared" si="58"/>
        <v>0</v>
      </c>
      <c r="AP498" s="81">
        <f t="shared" si="58"/>
        <v>0</v>
      </c>
      <c r="AQ498" s="81">
        <f t="shared" si="58"/>
        <v>0.05</v>
      </c>
      <c r="AR498" s="81">
        <f t="shared" si="58"/>
        <v>0</v>
      </c>
      <c r="AS498" s="81">
        <f t="shared" si="58"/>
        <v>0</v>
      </c>
      <c r="AT498" s="81">
        <f t="shared" si="58"/>
        <v>0</v>
      </c>
      <c r="AU498" s="81">
        <f t="shared" si="58"/>
        <v>0</v>
      </c>
      <c r="AV498" s="81">
        <f t="shared" si="58"/>
        <v>0</v>
      </c>
      <c r="AW498" s="81">
        <f t="shared" si="58"/>
        <v>0</v>
      </c>
      <c r="AX498" s="81">
        <f t="shared" si="58"/>
        <v>0</v>
      </c>
      <c r="AY498" s="81">
        <f t="shared" si="58"/>
        <v>0</v>
      </c>
      <c r="AZ498" s="81">
        <f t="shared" si="58"/>
        <v>0</v>
      </c>
      <c r="BA498" s="81">
        <f t="shared" si="58"/>
        <v>0</v>
      </c>
      <c r="BB498" s="81">
        <f t="shared" si="58"/>
        <v>0</v>
      </c>
      <c r="BC498" s="81">
        <f t="shared" si="58"/>
        <v>0</v>
      </c>
      <c r="BD498" s="81">
        <f t="shared" si="58"/>
        <v>0</v>
      </c>
      <c r="BE498" s="81">
        <f t="shared" si="58"/>
        <v>0</v>
      </c>
      <c r="BF498" s="81">
        <f t="shared" si="58"/>
        <v>0</v>
      </c>
      <c r="BG498" s="81">
        <f t="shared" si="58"/>
        <v>0</v>
      </c>
      <c r="BH498" s="81">
        <f t="shared" si="58"/>
        <v>0</v>
      </c>
      <c r="BI498" s="81"/>
      <c r="BJ498" s="78">
        <f t="shared" si="54"/>
        <v>0</v>
      </c>
      <c r="BK498" s="84"/>
      <c r="BL498" s="44">
        <v>25</v>
      </c>
      <c r="BM498" s="79">
        <f t="shared" si="56"/>
        <v>0</v>
      </c>
      <c r="BN498" s="75"/>
      <c r="BO498" s="75"/>
    </row>
    <row r="499" spans="1:67" s="4" customFormat="1" x14ac:dyDescent="0.3">
      <c r="A499" s="48">
        <v>1</v>
      </c>
      <c r="B499" s="50" t="s">
        <v>514</v>
      </c>
      <c r="C499" s="39" t="s">
        <v>37</v>
      </c>
      <c r="D499" s="39">
        <v>0.16</v>
      </c>
      <c r="E499" s="39"/>
      <c r="F499" s="39">
        <v>0.16</v>
      </c>
      <c r="G499" s="39"/>
      <c r="H499" s="39"/>
      <c r="I499" s="39"/>
      <c r="J499" s="39">
        <v>0.16</v>
      </c>
      <c r="K499" s="101" t="s">
        <v>153</v>
      </c>
      <c r="L499" s="50" t="s">
        <v>154</v>
      </c>
      <c r="M499" s="110">
        <v>52</v>
      </c>
      <c r="N499" s="211">
        <v>403</v>
      </c>
      <c r="O499" s="110"/>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v>0.16</v>
      </c>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78">
        <f t="shared" si="54"/>
        <v>0</v>
      </c>
      <c r="BK499" s="39"/>
      <c r="BL499" s="44">
        <v>25</v>
      </c>
      <c r="BM499" s="79">
        <f t="shared" si="56"/>
        <v>0</v>
      </c>
      <c r="BN499" s="75"/>
      <c r="BO499" s="75"/>
    </row>
    <row r="500" spans="1:67" s="4" customFormat="1" x14ac:dyDescent="0.3">
      <c r="A500" s="43">
        <v>2</v>
      </c>
      <c r="B500" s="42" t="s">
        <v>729</v>
      </c>
      <c r="C500" s="43" t="s">
        <v>37</v>
      </c>
      <c r="D500" s="41">
        <v>0.42</v>
      </c>
      <c r="E500" s="41"/>
      <c r="F500" s="41">
        <v>0.42</v>
      </c>
      <c r="G500" s="41"/>
      <c r="H500" s="41"/>
      <c r="I500" s="41"/>
      <c r="J500" s="41">
        <v>0.42</v>
      </c>
      <c r="K500" s="42" t="s">
        <v>688</v>
      </c>
      <c r="L500" s="42" t="s">
        <v>688</v>
      </c>
      <c r="M500" s="43">
        <v>30</v>
      </c>
      <c r="N500" s="210">
        <v>404</v>
      </c>
      <c r="O500" s="43"/>
      <c r="P500" s="97"/>
      <c r="Q500" s="97"/>
      <c r="R500" s="97"/>
      <c r="S500" s="97"/>
      <c r="T500" s="97"/>
      <c r="U500" s="97"/>
      <c r="V500" s="97"/>
      <c r="W500" s="97"/>
      <c r="X500" s="97"/>
      <c r="Y500" s="97"/>
      <c r="Z500" s="97">
        <v>0.42</v>
      </c>
      <c r="AA500" s="97"/>
      <c r="AB500" s="49"/>
      <c r="AC500" s="97"/>
      <c r="AD500" s="97"/>
      <c r="AE500" s="97"/>
      <c r="AF500" s="97"/>
      <c r="AG500" s="100"/>
      <c r="AH500" s="97"/>
      <c r="AI500" s="97"/>
      <c r="AJ500" s="97"/>
      <c r="AK500" s="97"/>
      <c r="AL500" s="97"/>
      <c r="AM500" s="97"/>
      <c r="AN500" s="97"/>
      <c r="AO500" s="97"/>
      <c r="AP500" s="97"/>
      <c r="AQ500" s="97"/>
      <c r="AR500" s="97"/>
      <c r="AS500" s="97"/>
      <c r="AT500" s="97"/>
      <c r="AU500" s="97"/>
      <c r="AV500" s="97"/>
      <c r="AW500" s="97"/>
      <c r="AX500" s="97"/>
      <c r="AY500" s="97"/>
      <c r="AZ500" s="97"/>
      <c r="BA500" s="97"/>
      <c r="BB500" s="97"/>
      <c r="BC500" s="97"/>
      <c r="BD500" s="97"/>
      <c r="BE500" s="97"/>
      <c r="BF500" s="97"/>
      <c r="BG500" s="97"/>
      <c r="BH500" s="97"/>
      <c r="BI500" s="97"/>
      <c r="BJ500" s="78">
        <f t="shared" si="54"/>
        <v>0</v>
      </c>
      <c r="BK500" s="97"/>
      <c r="BL500" s="97">
        <v>25</v>
      </c>
      <c r="BM500" s="79">
        <f t="shared" si="56"/>
        <v>0</v>
      </c>
      <c r="BN500" s="75"/>
      <c r="BO500" s="75"/>
    </row>
    <row r="501" spans="1:67" s="4" customFormat="1" x14ac:dyDescent="0.3">
      <c r="A501" s="43">
        <v>3</v>
      </c>
      <c r="B501" s="42" t="s">
        <v>1064</v>
      </c>
      <c r="C501" s="43" t="s">
        <v>37</v>
      </c>
      <c r="D501" s="41">
        <v>0.05</v>
      </c>
      <c r="E501" s="41"/>
      <c r="F501" s="41">
        <v>0.05</v>
      </c>
      <c r="G501" s="41"/>
      <c r="H501" s="41"/>
      <c r="I501" s="41"/>
      <c r="J501" s="41">
        <v>0.05</v>
      </c>
      <c r="K501" s="42" t="s">
        <v>420</v>
      </c>
      <c r="L501" s="42" t="s">
        <v>415</v>
      </c>
      <c r="M501" s="43"/>
      <c r="N501" s="210">
        <v>405</v>
      </c>
      <c r="O501" s="43"/>
      <c r="P501" s="97"/>
      <c r="Q501" s="97"/>
      <c r="R501" s="97"/>
      <c r="S501" s="97"/>
      <c r="T501" s="97"/>
      <c r="U501" s="97"/>
      <c r="V501" s="97"/>
      <c r="W501" s="97"/>
      <c r="X501" s="97"/>
      <c r="Y501" s="97"/>
      <c r="Z501" s="97"/>
      <c r="AA501" s="97"/>
      <c r="AB501" s="49"/>
      <c r="AC501" s="97"/>
      <c r="AD501" s="97"/>
      <c r="AE501" s="97"/>
      <c r="AF501" s="97"/>
      <c r="AG501" s="100"/>
      <c r="AH501" s="97"/>
      <c r="AI501" s="97"/>
      <c r="AJ501" s="97"/>
      <c r="AK501" s="97"/>
      <c r="AL501" s="97"/>
      <c r="AM501" s="97"/>
      <c r="AN501" s="97"/>
      <c r="AO501" s="97"/>
      <c r="AP501" s="97"/>
      <c r="AQ501" s="97">
        <v>0.05</v>
      </c>
      <c r="AR501" s="97"/>
      <c r="AS501" s="97"/>
      <c r="AT501" s="97"/>
      <c r="AU501" s="97"/>
      <c r="AV501" s="97"/>
      <c r="AW501" s="97"/>
      <c r="AX501" s="97"/>
      <c r="AY501" s="97"/>
      <c r="AZ501" s="97"/>
      <c r="BA501" s="97"/>
      <c r="BB501" s="97"/>
      <c r="BC501" s="97"/>
      <c r="BD501" s="97"/>
      <c r="BE501" s="97"/>
      <c r="BF501" s="97"/>
      <c r="BG501" s="97"/>
      <c r="BH501" s="97"/>
      <c r="BI501" s="97"/>
      <c r="BJ501" s="78"/>
      <c r="BK501" s="97"/>
      <c r="BL501" s="97"/>
      <c r="BM501" s="79">
        <f t="shared" si="56"/>
        <v>0</v>
      </c>
      <c r="BN501" s="75"/>
      <c r="BO501" s="75"/>
    </row>
    <row r="502" spans="1:67" ht="31.2" x14ac:dyDescent="0.3">
      <c r="A502" s="76" t="s">
        <v>629</v>
      </c>
      <c r="B502" s="77" t="s">
        <v>630</v>
      </c>
      <c r="C502" s="80" t="s">
        <v>38</v>
      </c>
      <c r="D502" s="81">
        <f t="shared" ref="D502:L502" si="59">SUM(D503:D539)</f>
        <v>33.660000000000011</v>
      </c>
      <c r="E502" s="81">
        <f t="shared" si="59"/>
        <v>10.93</v>
      </c>
      <c r="F502" s="81">
        <f t="shared" si="59"/>
        <v>22.730000000000004</v>
      </c>
      <c r="G502" s="81">
        <f t="shared" si="59"/>
        <v>11.43</v>
      </c>
      <c r="H502" s="81">
        <f t="shared" si="59"/>
        <v>0</v>
      </c>
      <c r="I502" s="81">
        <f t="shared" si="59"/>
        <v>0</v>
      </c>
      <c r="J502" s="81">
        <f t="shared" si="59"/>
        <v>11.3</v>
      </c>
      <c r="K502" s="82">
        <f t="shared" si="59"/>
        <v>0</v>
      </c>
      <c r="L502" s="82">
        <f t="shared" si="59"/>
        <v>0</v>
      </c>
      <c r="M502" s="81"/>
      <c r="N502" s="81"/>
      <c r="O502" s="81"/>
      <c r="P502" s="81">
        <f t="shared" ref="P502:BH502" si="60">SUM(P503:P539)</f>
        <v>0</v>
      </c>
      <c r="Q502" s="81">
        <f t="shared" si="60"/>
        <v>0</v>
      </c>
      <c r="R502" s="81">
        <f t="shared" si="60"/>
        <v>0</v>
      </c>
      <c r="S502" s="81">
        <f t="shared" si="60"/>
        <v>0</v>
      </c>
      <c r="T502" s="81">
        <f t="shared" si="60"/>
        <v>0</v>
      </c>
      <c r="U502" s="81">
        <f t="shared" si="60"/>
        <v>0</v>
      </c>
      <c r="V502" s="81">
        <f t="shared" si="60"/>
        <v>0</v>
      </c>
      <c r="W502" s="81">
        <f t="shared" si="60"/>
        <v>0</v>
      </c>
      <c r="X502" s="81">
        <f t="shared" si="60"/>
        <v>1.5</v>
      </c>
      <c r="Y502" s="81">
        <f t="shared" si="60"/>
        <v>0</v>
      </c>
      <c r="Z502" s="81">
        <f t="shared" si="60"/>
        <v>4.46</v>
      </c>
      <c r="AA502" s="81">
        <f t="shared" si="60"/>
        <v>0.92999999999999994</v>
      </c>
      <c r="AB502" s="81">
        <f t="shared" si="60"/>
        <v>0.03</v>
      </c>
      <c r="AC502" s="81">
        <f t="shared" si="60"/>
        <v>0</v>
      </c>
      <c r="AD502" s="81">
        <f t="shared" si="60"/>
        <v>0</v>
      </c>
      <c r="AE502" s="81">
        <f t="shared" si="60"/>
        <v>0.02</v>
      </c>
      <c r="AF502" s="81">
        <f t="shared" si="60"/>
        <v>0</v>
      </c>
      <c r="AG502" s="81">
        <f t="shared" si="60"/>
        <v>0.34</v>
      </c>
      <c r="AH502" s="81">
        <f t="shared" si="60"/>
        <v>0</v>
      </c>
      <c r="AI502" s="81">
        <f t="shared" si="60"/>
        <v>0</v>
      </c>
      <c r="AJ502" s="81">
        <f t="shared" si="60"/>
        <v>0</v>
      </c>
      <c r="AK502" s="81">
        <f t="shared" si="60"/>
        <v>0.1</v>
      </c>
      <c r="AL502" s="81">
        <f t="shared" si="60"/>
        <v>0</v>
      </c>
      <c r="AM502" s="81">
        <f t="shared" si="60"/>
        <v>0</v>
      </c>
      <c r="AN502" s="81">
        <f t="shared" si="60"/>
        <v>0</v>
      </c>
      <c r="AO502" s="81">
        <f t="shared" si="60"/>
        <v>1.39</v>
      </c>
      <c r="AP502" s="81">
        <f t="shared" si="60"/>
        <v>0</v>
      </c>
      <c r="AQ502" s="81">
        <f t="shared" si="60"/>
        <v>0</v>
      </c>
      <c r="AR502" s="81">
        <f t="shared" si="60"/>
        <v>0</v>
      </c>
      <c r="AS502" s="81">
        <f t="shared" si="60"/>
        <v>0</v>
      </c>
      <c r="AT502" s="81">
        <f t="shared" si="60"/>
        <v>0</v>
      </c>
      <c r="AU502" s="81">
        <f t="shared" si="60"/>
        <v>0</v>
      </c>
      <c r="AV502" s="81">
        <f t="shared" si="60"/>
        <v>0</v>
      </c>
      <c r="AW502" s="81">
        <f t="shared" si="60"/>
        <v>0.22000000000000003</v>
      </c>
      <c r="AX502" s="81">
        <f t="shared" si="60"/>
        <v>0</v>
      </c>
      <c r="AY502" s="81">
        <f t="shared" si="60"/>
        <v>0</v>
      </c>
      <c r="AZ502" s="81">
        <f t="shared" si="60"/>
        <v>0</v>
      </c>
      <c r="BA502" s="81">
        <f t="shared" si="60"/>
        <v>0</v>
      </c>
      <c r="BB502" s="81">
        <f t="shared" si="60"/>
        <v>0</v>
      </c>
      <c r="BC502" s="81">
        <f t="shared" si="60"/>
        <v>0</v>
      </c>
      <c r="BD502" s="81">
        <f t="shared" si="60"/>
        <v>0</v>
      </c>
      <c r="BE502" s="81">
        <f t="shared" si="60"/>
        <v>2.31</v>
      </c>
      <c r="BF502" s="81">
        <f t="shared" si="60"/>
        <v>0</v>
      </c>
      <c r="BG502" s="81">
        <f t="shared" si="60"/>
        <v>0</v>
      </c>
      <c r="BH502" s="81">
        <f t="shared" si="60"/>
        <v>0</v>
      </c>
      <c r="BI502" s="81"/>
      <c r="BJ502" s="78">
        <f t="shared" ref="BJ502:BJ523" si="61">D502-E502-F502</f>
        <v>0</v>
      </c>
      <c r="BK502" s="39"/>
      <c r="BL502" s="44">
        <v>26</v>
      </c>
      <c r="BM502" s="79">
        <f t="shared" si="56"/>
        <v>0</v>
      </c>
      <c r="BN502" s="75"/>
      <c r="BO502" s="75"/>
    </row>
    <row r="503" spans="1:67" s="4" customFormat="1" ht="38.25" customHeight="1" x14ac:dyDescent="0.3">
      <c r="A503" s="48">
        <v>1</v>
      </c>
      <c r="B503" s="42" t="s">
        <v>59</v>
      </c>
      <c r="C503" s="43" t="s">
        <v>38</v>
      </c>
      <c r="D503" s="41">
        <f>SUM(E503,F503)</f>
        <v>0.45</v>
      </c>
      <c r="E503" s="41">
        <v>0.4</v>
      </c>
      <c r="F503" s="41">
        <v>0.05</v>
      </c>
      <c r="G503" s="41">
        <v>0</v>
      </c>
      <c r="H503" s="41"/>
      <c r="I503" s="39"/>
      <c r="J503" s="41">
        <f>SUM(V503:BG503)</f>
        <v>0.05</v>
      </c>
      <c r="K503" s="42" t="s">
        <v>899</v>
      </c>
      <c r="L503" s="42" t="s">
        <v>58</v>
      </c>
      <c r="M503" s="43">
        <v>9</v>
      </c>
      <c r="N503" s="210">
        <v>406</v>
      </c>
      <c r="O503" s="43"/>
      <c r="P503" s="105"/>
      <c r="Q503" s="84"/>
      <c r="R503" s="84"/>
      <c r="S503" s="84"/>
      <c r="T503" s="84"/>
      <c r="U503" s="84"/>
      <c r="V503" s="84"/>
      <c r="W503" s="84"/>
      <c r="X503" s="84"/>
      <c r="Y503" s="84"/>
      <c r="Z503" s="84"/>
      <c r="AA503" s="84">
        <v>0.02</v>
      </c>
      <c r="AB503" s="84">
        <v>0.03</v>
      </c>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78">
        <f t="shared" si="61"/>
        <v>0</v>
      </c>
      <c r="BK503" s="84"/>
      <c r="BL503" s="44">
        <v>26</v>
      </c>
      <c r="BM503" s="79">
        <f t="shared" si="56"/>
        <v>0</v>
      </c>
      <c r="BN503" s="75"/>
      <c r="BO503" s="75"/>
    </row>
    <row r="504" spans="1:67" s="4" customFormat="1" x14ac:dyDescent="0.3">
      <c r="A504" s="48">
        <v>2</v>
      </c>
      <c r="B504" s="42" t="s">
        <v>464</v>
      </c>
      <c r="C504" s="43" t="s">
        <v>38</v>
      </c>
      <c r="D504" s="39">
        <v>2.4500000000000002</v>
      </c>
      <c r="E504" s="39"/>
      <c r="F504" s="39">
        <v>2.4500000000000002</v>
      </c>
      <c r="G504" s="39">
        <v>2.4500000000000002</v>
      </c>
      <c r="H504" s="39"/>
      <c r="I504" s="39"/>
      <c r="J504" s="39"/>
      <c r="K504" s="42" t="s">
        <v>929</v>
      </c>
      <c r="L504" s="117" t="s">
        <v>67</v>
      </c>
      <c r="M504" s="43">
        <v>55</v>
      </c>
      <c r="N504" s="210">
        <v>407</v>
      </c>
      <c r="O504" s="43"/>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78">
        <f t="shared" si="61"/>
        <v>0</v>
      </c>
      <c r="BK504" s="115"/>
      <c r="BL504" s="44">
        <v>26</v>
      </c>
      <c r="BM504" s="79">
        <f t="shared" si="56"/>
        <v>0</v>
      </c>
      <c r="BN504" s="75"/>
      <c r="BO504" s="75"/>
    </row>
    <row r="505" spans="1:67" s="4" customFormat="1" ht="31.2" x14ac:dyDescent="0.3">
      <c r="A505" s="48">
        <v>3</v>
      </c>
      <c r="B505" s="42" t="s">
        <v>465</v>
      </c>
      <c r="C505" s="48" t="s">
        <v>38</v>
      </c>
      <c r="D505" s="39">
        <v>0.37</v>
      </c>
      <c r="E505" s="39">
        <v>0.35</v>
      </c>
      <c r="F505" s="39">
        <f>D505-E505</f>
        <v>2.0000000000000018E-2</v>
      </c>
      <c r="G505" s="39"/>
      <c r="H505" s="41"/>
      <c r="I505" s="39"/>
      <c r="J505" s="107">
        <v>0.02</v>
      </c>
      <c r="K505" s="42" t="s">
        <v>81</v>
      </c>
      <c r="L505" s="42" t="s">
        <v>81</v>
      </c>
      <c r="M505" s="48">
        <v>59</v>
      </c>
      <c r="N505" s="206">
        <v>408</v>
      </c>
      <c r="O505" s="48"/>
      <c r="P505" s="84"/>
      <c r="Q505" s="84"/>
      <c r="R505" s="84"/>
      <c r="S505" s="84"/>
      <c r="T505" s="84"/>
      <c r="U505" s="84"/>
      <c r="V505" s="84"/>
      <c r="W505" s="84"/>
      <c r="X505" s="84"/>
      <c r="Y505" s="84"/>
      <c r="Z505" s="84"/>
      <c r="AA505" s="84"/>
      <c r="AB505" s="84"/>
      <c r="AC505" s="84"/>
      <c r="AD505" s="84"/>
      <c r="AE505" s="84">
        <v>0.02</v>
      </c>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78">
        <f t="shared" si="61"/>
        <v>0</v>
      </c>
      <c r="BK505" s="84"/>
      <c r="BL505" s="44">
        <v>26</v>
      </c>
      <c r="BM505" s="79">
        <f t="shared" si="56"/>
        <v>0</v>
      </c>
      <c r="BN505" s="75"/>
      <c r="BO505" s="75"/>
    </row>
    <row r="506" spans="1:67" s="4" customFormat="1" x14ac:dyDescent="0.3">
      <c r="A506" s="48">
        <v>4</v>
      </c>
      <c r="B506" s="42" t="s">
        <v>59</v>
      </c>
      <c r="C506" s="43" t="s">
        <v>38</v>
      </c>
      <c r="D506" s="41">
        <v>0.3</v>
      </c>
      <c r="E506" s="41">
        <v>0.2</v>
      </c>
      <c r="F506" s="41">
        <v>0.1</v>
      </c>
      <c r="G506" s="41"/>
      <c r="H506" s="85"/>
      <c r="I506" s="39"/>
      <c r="J506" s="41">
        <v>0.1</v>
      </c>
      <c r="K506" s="42" t="s">
        <v>878</v>
      </c>
      <c r="L506" s="42" t="s">
        <v>91</v>
      </c>
      <c r="M506" s="43">
        <v>10</v>
      </c>
      <c r="N506" s="210">
        <v>409</v>
      </c>
      <c r="O506" s="43"/>
      <c r="P506" s="92"/>
      <c r="Q506" s="84"/>
      <c r="R506" s="84"/>
      <c r="S506" s="84"/>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79">
        <v>0.1</v>
      </c>
      <c r="BF506" s="84"/>
      <c r="BG506" s="84"/>
      <c r="BH506" s="84"/>
      <c r="BI506" s="84"/>
      <c r="BJ506" s="78">
        <f t="shared" si="61"/>
        <v>0</v>
      </c>
      <c r="BK506" s="84"/>
      <c r="BL506" s="44">
        <v>26</v>
      </c>
      <c r="BM506" s="79">
        <f t="shared" si="56"/>
        <v>0</v>
      </c>
      <c r="BN506" s="75"/>
      <c r="BO506" s="75"/>
    </row>
    <row r="507" spans="1:67" s="4" customFormat="1" x14ac:dyDescent="0.3">
      <c r="A507" s="48">
        <v>5</v>
      </c>
      <c r="B507" s="50" t="s">
        <v>466</v>
      </c>
      <c r="C507" s="39" t="s">
        <v>38</v>
      </c>
      <c r="D507" s="39">
        <v>0.63</v>
      </c>
      <c r="E507" s="39">
        <v>0.33</v>
      </c>
      <c r="F507" s="39">
        <v>0.3</v>
      </c>
      <c r="G507" s="39"/>
      <c r="H507" s="39"/>
      <c r="I507" s="39"/>
      <c r="J507" s="39">
        <v>0.30000000000000004</v>
      </c>
      <c r="K507" s="50" t="s">
        <v>113</v>
      </c>
      <c r="L507" s="50" t="s">
        <v>102</v>
      </c>
      <c r="M507" s="110">
        <v>21</v>
      </c>
      <c r="N507" s="211">
        <v>410</v>
      </c>
      <c r="O507" s="110"/>
      <c r="P507" s="39"/>
      <c r="Q507" s="39"/>
      <c r="R507" s="39"/>
      <c r="S507" s="39"/>
      <c r="T507" s="39"/>
      <c r="U507" s="39"/>
      <c r="V507" s="39"/>
      <c r="W507" s="39"/>
      <c r="X507" s="39"/>
      <c r="Y507" s="39"/>
      <c r="Z507" s="39">
        <v>0.1</v>
      </c>
      <c r="AA507" s="39">
        <v>0.2</v>
      </c>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78">
        <f t="shared" si="61"/>
        <v>0</v>
      </c>
      <c r="BK507" s="39"/>
      <c r="BL507" s="44">
        <v>26</v>
      </c>
      <c r="BM507" s="79">
        <f t="shared" si="56"/>
        <v>0</v>
      </c>
      <c r="BN507" s="75"/>
      <c r="BO507" s="75"/>
    </row>
    <row r="508" spans="1:67" s="4" customFormat="1" ht="31.2" x14ac:dyDescent="0.3">
      <c r="A508" s="48">
        <v>6</v>
      </c>
      <c r="B508" s="50" t="s">
        <v>467</v>
      </c>
      <c r="C508" s="39" t="s">
        <v>38</v>
      </c>
      <c r="D508" s="39">
        <v>0.7</v>
      </c>
      <c r="E508" s="39">
        <v>0.3</v>
      </c>
      <c r="F508" s="39">
        <v>0.4</v>
      </c>
      <c r="G508" s="39"/>
      <c r="H508" s="39"/>
      <c r="I508" s="39"/>
      <c r="J508" s="39">
        <v>0.4</v>
      </c>
      <c r="K508" s="50" t="s">
        <v>105</v>
      </c>
      <c r="L508" s="50" t="s">
        <v>102</v>
      </c>
      <c r="M508" s="99">
        <v>39</v>
      </c>
      <c r="N508" s="207">
        <v>411</v>
      </c>
      <c r="O508" s="99"/>
      <c r="P508" s="39"/>
      <c r="Q508" s="39"/>
      <c r="R508" s="39"/>
      <c r="S508" s="39"/>
      <c r="T508" s="39"/>
      <c r="U508" s="39"/>
      <c r="V508" s="39"/>
      <c r="W508" s="39"/>
      <c r="X508" s="39"/>
      <c r="Y508" s="39"/>
      <c r="Z508" s="39">
        <v>0.4</v>
      </c>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78">
        <f t="shared" si="61"/>
        <v>0</v>
      </c>
      <c r="BK508" s="39"/>
      <c r="BL508" s="44">
        <v>26</v>
      </c>
      <c r="BM508" s="79">
        <f t="shared" si="56"/>
        <v>0</v>
      </c>
      <c r="BN508" s="75"/>
      <c r="BO508" s="75"/>
    </row>
    <row r="509" spans="1:67" s="4" customFormat="1" ht="31.2" x14ac:dyDescent="0.3">
      <c r="A509" s="48">
        <v>7</v>
      </c>
      <c r="B509" s="50" t="s">
        <v>468</v>
      </c>
      <c r="C509" s="39" t="s">
        <v>38</v>
      </c>
      <c r="D509" s="39">
        <v>0.73</v>
      </c>
      <c r="E509" s="39">
        <v>0.33</v>
      </c>
      <c r="F509" s="39">
        <v>0.4</v>
      </c>
      <c r="G509" s="39"/>
      <c r="H509" s="39"/>
      <c r="I509" s="39"/>
      <c r="J509" s="39">
        <v>0.4</v>
      </c>
      <c r="K509" s="50" t="s">
        <v>113</v>
      </c>
      <c r="L509" s="50" t="s">
        <v>102</v>
      </c>
      <c r="M509" s="110">
        <v>40</v>
      </c>
      <c r="N509" s="211">
        <v>412</v>
      </c>
      <c r="O509" s="110"/>
      <c r="P509" s="39"/>
      <c r="Q509" s="39"/>
      <c r="R509" s="39"/>
      <c r="S509" s="39"/>
      <c r="T509" s="39"/>
      <c r="U509" s="39"/>
      <c r="V509" s="39"/>
      <c r="W509" s="39"/>
      <c r="X509" s="39"/>
      <c r="Y509" s="39"/>
      <c r="Z509" s="39">
        <v>0.4</v>
      </c>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39"/>
      <c r="BG509" s="39"/>
      <c r="BH509" s="39"/>
      <c r="BI509" s="39"/>
      <c r="BJ509" s="78">
        <f t="shared" si="61"/>
        <v>0</v>
      </c>
      <c r="BK509" s="39"/>
      <c r="BL509" s="44">
        <v>26</v>
      </c>
      <c r="BM509" s="79">
        <f t="shared" si="56"/>
        <v>0</v>
      </c>
      <c r="BN509" s="75"/>
      <c r="BO509" s="75"/>
    </row>
    <row r="510" spans="1:67" s="4" customFormat="1" x14ac:dyDescent="0.3">
      <c r="A510" s="48">
        <v>8</v>
      </c>
      <c r="B510" s="50" t="s">
        <v>361</v>
      </c>
      <c r="C510" s="39" t="s">
        <v>38</v>
      </c>
      <c r="D510" s="39">
        <v>0.71</v>
      </c>
      <c r="E510" s="39">
        <v>0.2</v>
      </c>
      <c r="F510" s="39">
        <v>0.51</v>
      </c>
      <c r="G510" s="39"/>
      <c r="H510" s="39">
        <v>0</v>
      </c>
      <c r="I510" s="39"/>
      <c r="J510" s="39">
        <v>0.51</v>
      </c>
      <c r="K510" s="50" t="s">
        <v>128</v>
      </c>
      <c r="L510" s="122" t="s">
        <v>125</v>
      </c>
      <c r="M510" s="110">
        <v>22</v>
      </c>
      <c r="N510" s="211">
        <v>413</v>
      </c>
      <c r="O510" s="110"/>
      <c r="P510" s="39"/>
      <c r="Q510" s="39"/>
      <c r="R510" s="39"/>
      <c r="S510" s="39"/>
      <c r="T510" s="39"/>
      <c r="U510" s="39"/>
      <c r="V510" s="39"/>
      <c r="W510" s="39"/>
      <c r="X510" s="39"/>
      <c r="Y510" s="39"/>
      <c r="Z510" s="39"/>
      <c r="AA510" s="39">
        <v>0.51</v>
      </c>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78">
        <f t="shared" si="61"/>
        <v>0</v>
      </c>
      <c r="BK510" s="39"/>
      <c r="BL510" s="44">
        <v>26</v>
      </c>
      <c r="BM510" s="79">
        <f t="shared" si="56"/>
        <v>0</v>
      </c>
      <c r="BN510" s="75"/>
      <c r="BO510" s="75"/>
    </row>
    <row r="511" spans="1:67" s="4" customFormat="1" x14ac:dyDescent="0.3">
      <c r="A511" s="48">
        <v>9</v>
      </c>
      <c r="B511" s="50" t="s">
        <v>59</v>
      </c>
      <c r="C511" s="39" t="s">
        <v>38</v>
      </c>
      <c r="D511" s="39">
        <v>0.68</v>
      </c>
      <c r="E511" s="39">
        <v>0.38</v>
      </c>
      <c r="F511" s="39">
        <v>0.3</v>
      </c>
      <c r="G511" s="39">
        <v>0.3</v>
      </c>
      <c r="H511" s="39"/>
      <c r="I511" s="39"/>
      <c r="J511" s="39">
        <v>0</v>
      </c>
      <c r="K511" s="50" t="s">
        <v>153</v>
      </c>
      <c r="L511" s="50" t="s">
        <v>154</v>
      </c>
      <c r="M511" s="110">
        <v>23</v>
      </c>
      <c r="N511" s="211">
        <v>414</v>
      </c>
      <c r="O511" s="110"/>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c r="BE511" s="39"/>
      <c r="BF511" s="39"/>
      <c r="BG511" s="39"/>
      <c r="BH511" s="39"/>
      <c r="BI511" s="39"/>
      <c r="BJ511" s="78">
        <f t="shared" si="61"/>
        <v>0</v>
      </c>
      <c r="BK511" s="39"/>
      <c r="BL511" s="44">
        <v>26</v>
      </c>
      <c r="BM511" s="79">
        <f t="shared" si="56"/>
        <v>0</v>
      </c>
      <c r="BN511" s="75"/>
      <c r="BO511" s="75"/>
    </row>
    <row r="512" spans="1:67" s="4" customFormat="1" x14ac:dyDescent="0.3">
      <c r="A512" s="48">
        <v>10</v>
      </c>
      <c r="B512" s="50" t="s">
        <v>164</v>
      </c>
      <c r="C512" s="39" t="s">
        <v>38</v>
      </c>
      <c r="D512" s="39">
        <v>0.82</v>
      </c>
      <c r="E512" s="39">
        <v>0.8</v>
      </c>
      <c r="F512" s="39">
        <v>0.02</v>
      </c>
      <c r="G512" s="39"/>
      <c r="H512" s="39"/>
      <c r="I512" s="39"/>
      <c r="J512" s="39">
        <v>0.02</v>
      </c>
      <c r="K512" s="50" t="s">
        <v>153</v>
      </c>
      <c r="L512" s="50" t="s">
        <v>154</v>
      </c>
      <c r="M512" s="110">
        <v>24</v>
      </c>
      <c r="N512" s="211">
        <v>415</v>
      </c>
      <c r="O512" s="110"/>
      <c r="P512" s="39"/>
      <c r="Q512" s="39"/>
      <c r="R512" s="39"/>
      <c r="S512" s="39"/>
      <c r="T512" s="39"/>
      <c r="U512" s="39"/>
      <c r="V512" s="39"/>
      <c r="W512" s="39"/>
      <c r="X512" s="39"/>
      <c r="Y512" s="39"/>
      <c r="Z512" s="39">
        <v>0.02</v>
      </c>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c r="BE512" s="39"/>
      <c r="BF512" s="39"/>
      <c r="BG512" s="39"/>
      <c r="BH512" s="39"/>
      <c r="BI512" s="39"/>
      <c r="BJ512" s="78">
        <f t="shared" si="61"/>
        <v>-9.3675067702747583E-17</v>
      </c>
      <c r="BK512" s="39"/>
      <c r="BL512" s="44">
        <v>26</v>
      </c>
      <c r="BM512" s="79">
        <f t="shared" si="56"/>
        <v>0</v>
      </c>
      <c r="BN512" s="75"/>
      <c r="BO512" s="75"/>
    </row>
    <row r="513" spans="1:67" s="4" customFormat="1" ht="30" customHeight="1" x14ac:dyDescent="0.3">
      <c r="A513" s="48">
        <v>11</v>
      </c>
      <c r="B513" s="50" t="s">
        <v>361</v>
      </c>
      <c r="C513" s="39" t="s">
        <v>38</v>
      </c>
      <c r="D513" s="39">
        <v>0.52</v>
      </c>
      <c r="E513" s="39">
        <v>0.42</v>
      </c>
      <c r="F513" s="39">
        <v>0.1</v>
      </c>
      <c r="G513" s="39"/>
      <c r="H513" s="39"/>
      <c r="I513" s="39"/>
      <c r="J513" s="39">
        <v>0.1</v>
      </c>
      <c r="K513" s="50" t="s">
        <v>207</v>
      </c>
      <c r="L513" s="50" t="s">
        <v>208</v>
      </c>
      <c r="M513" s="99">
        <v>38</v>
      </c>
      <c r="N513" s="207">
        <v>416</v>
      </c>
      <c r="O513" s="9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v>0.1</v>
      </c>
      <c r="BF513" s="39"/>
      <c r="BG513" s="39"/>
      <c r="BH513" s="39"/>
      <c r="BI513" s="39"/>
      <c r="BJ513" s="78">
        <f t="shared" si="61"/>
        <v>0</v>
      </c>
      <c r="BK513" s="84"/>
      <c r="BL513" s="44">
        <v>26</v>
      </c>
      <c r="BM513" s="79">
        <f t="shared" si="56"/>
        <v>0</v>
      </c>
      <c r="BN513" s="75"/>
      <c r="BO513" s="75"/>
    </row>
    <row r="514" spans="1:67" s="4" customFormat="1" x14ac:dyDescent="0.3">
      <c r="A514" s="48">
        <v>12</v>
      </c>
      <c r="B514" s="42" t="s">
        <v>237</v>
      </c>
      <c r="C514" s="48" t="s">
        <v>38</v>
      </c>
      <c r="D514" s="39">
        <v>1.17</v>
      </c>
      <c r="E514" s="39"/>
      <c r="F514" s="39">
        <v>1.17</v>
      </c>
      <c r="G514" s="39"/>
      <c r="H514" s="39"/>
      <c r="I514" s="39"/>
      <c r="J514" s="39">
        <v>1.17</v>
      </c>
      <c r="K514" s="92" t="s">
        <v>788</v>
      </c>
      <c r="L514" s="42" t="s">
        <v>233</v>
      </c>
      <c r="M514" s="44">
        <v>14</v>
      </c>
      <c r="N514" s="209">
        <v>417</v>
      </c>
      <c r="O514" s="44"/>
      <c r="P514" s="84"/>
      <c r="Q514" s="84"/>
      <c r="R514" s="84"/>
      <c r="S514" s="84"/>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118">
        <v>1.17</v>
      </c>
      <c r="BF514" s="84"/>
      <c r="BG514" s="84"/>
      <c r="BH514" s="84"/>
      <c r="BI514" s="84"/>
      <c r="BJ514" s="78">
        <f t="shared" si="61"/>
        <v>0</v>
      </c>
      <c r="BK514" s="97"/>
      <c r="BL514" s="44">
        <v>26</v>
      </c>
      <c r="BM514" s="79">
        <f t="shared" si="56"/>
        <v>0</v>
      </c>
      <c r="BN514" s="75"/>
      <c r="BO514" s="75"/>
    </row>
    <row r="515" spans="1:67" s="4" customFormat="1" ht="31.2" x14ac:dyDescent="0.3">
      <c r="A515" s="48">
        <v>13</v>
      </c>
      <c r="B515" s="42" t="s">
        <v>238</v>
      </c>
      <c r="C515" s="48" t="s">
        <v>38</v>
      </c>
      <c r="D515" s="39">
        <v>0.1</v>
      </c>
      <c r="E515" s="39"/>
      <c r="F515" s="39">
        <v>0.1</v>
      </c>
      <c r="G515" s="39"/>
      <c r="H515" s="39"/>
      <c r="I515" s="39"/>
      <c r="J515" s="39">
        <v>0.1</v>
      </c>
      <c r="K515" s="42" t="s">
        <v>789</v>
      </c>
      <c r="L515" s="42" t="s">
        <v>233</v>
      </c>
      <c r="M515" s="44">
        <v>15</v>
      </c>
      <c r="N515" s="209">
        <v>418</v>
      </c>
      <c r="O515" s="4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118">
        <v>0.1</v>
      </c>
      <c r="BF515" s="84"/>
      <c r="BG515" s="84"/>
      <c r="BH515" s="84"/>
      <c r="BI515" s="84"/>
      <c r="BJ515" s="78">
        <f t="shared" si="61"/>
        <v>0</v>
      </c>
      <c r="BK515" s="97"/>
      <c r="BL515" s="44">
        <v>26</v>
      </c>
      <c r="BM515" s="79">
        <f t="shared" si="56"/>
        <v>0</v>
      </c>
      <c r="BN515" s="75"/>
      <c r="BO515" s="75"/>
    </row>
    <row r="516" spans="1:67" s="4" customFormat="1" ht="31.2" x14ac:dyDescent="0.3">
      <c r="A516" s="48">
        <v>14</v>
      </c>
      <c r="B516" s="42" t="s">
        <v>250</v>
      </c>
      <c r="C516" s="48" t="s">
        <v>38</v>
      </c>
      <c r="D516" s="39">
        <v>0.34</v>
      </c>
      <c r="E516" s="39"/>
      <c r="F516" s="39">
        <v>0.34</v>
      </c>
      <c r="G516" s="39"/>
      <c r="H516" s="39"/>
      <c r="I516" s="39"/>
      <c r="J516" s="39">
        <v>0.34</v>
      </c>
      <c r="K516" s="42" t="s">
        <v>1008</v>
      </c>
      <c r="L516" s="42" t="s">
        <v>247</v>
      </c>
      <c r="M516" s="48">
        <v>25</v>
      </c>
      <c r="N516" s="206">
        <v>419</v>
      </c>
      <c r="O516" s="48"/>
      <c r="P516" s="84"/>
      <c r="Q516" s="84"/>
      <c r="R516" s="84"/>
      <c r="S516" s="84"/>
      <c r="T516" s="84"/>
      <c r="U516" s="84"/>
      <c r="V516" s="84"/>
      <c r="W516" s="84"/>
      <c r="X516" s="84"/>
      <c r="Y516" s="84"/>
      <c r="Z516" s="118"/>
      <c r="AA516" s="84"/>
      <c r="AB516" s="84"/>
      <c r="AC516" s="84"/>
      <c r="AD516" s="84"/>
      <c r="AE516" s="84"/>
      <c r="AF516" s="84"/>
      <c r="AG516" s="84">
        <v>0.34</v>
      </c>
      <c r="AH516" s="84"/>
      <c r="AI516" s="84"/>
      <c r="AJ516" s="84"/>
      <c r="AK516" s="84"/>
      <c r="AL516" s="84"/>
      <c r="AM516" s="118"/>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78">
        <f t="shared" si="61"/>
        <v>0</v>
      </c>
      <c r="BK516" s="84"/>
      <c r="BL516" s="44">
        <v>26</v>
      </c>
      <c r="BM516" s="79">
        <f t="shared" si="56"/>
        <v>0</v>
      </c>
      <c r="BN516" s="75"/>
      <c r="BO516" s="75"/>
    </row>
    <row r="517" spans="1:67" s="4" customFormat="1" ht="31.2" x14ac:dyDescent="0.3">
      <c r="A517" s="48">
        <v>15</v>
      </c>
      <c r="B517" s="42" t="s">
        <v>252</v>
      </c>
      <c r="C517" s="48" t="s">
        <v>38</v>
      </c>
      <c r="D517" s="39">
        <v>0.2</v>
      </c>
      <c r="E517" s="39"/>
      <c r="F517" s="39">
        <v>0.2</v>
      </c>
      <c r="G517" s="39"/>
      <c r="H517" s="39"/>
      <c r="I517" s="39"/>
      <c r="J517" s="39">
        <v>0.2</v>
      </c>
      <c r="K517" s="42" t="s">
        <v>1008</v>
      </c>
      <c r="L517" s="42" t="s">
        <v>247</v>
      </c>
      <c r="M517" s="48">
        <v>27</v>
      </c>
      <c r="N517" s="206">
        <v>420</v>
      </c>
      <c r="O517" s="48"/>
      <c r="P517" s="84"/>
      <c r="Q517" s="84"/>
      <c r="R517" s="84"/>
      <c r="S517" s="84"/>
      <c r="T517" s="84"/>
      <c r="U517" s="84"/>
      <c r="V517" s="84"/>
      <c r="W517" s="84"/>
      <c r="X517" s="84"/>
      <c r="Y517" s="84"/>
      <c r="Z517" s="84"/>
      <c r="AA517" s="84">
        <v>0.2</v>
      </c>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78">
        <f t="shared" si="61"/>
        <v>0</v>
      </c>
      <c r="BK517" s="84"/>
      <c r="BL517" s="44">
        <v>26</v>
      </c>
      <c r="BM517" s="79">
        <f t="shared" si="56"/>
        <v>0</v>
      </c>
      <c r="BN517" s="75"/>
      <c r="BO517" s="75"/>
    </row>
    <row r="518" spans="1:67" s="4" customFormat="1" ht="29.25" customHeight="1" x14ac:dyDescent="0.3">
      <c r="A518" s="48">
        <v>16</v>
      </c>
      <c r="B518" s="42" t="s">
        <v>253</v>
      </c>
      <c r="C518" s="48" t="s">
        <v>38</v>
      </c>
      <c r="D518" s="39">
        <v>0.08</v>
      </c>
      <c r="E518" s="39"/>
      <c r="F518" s="39">
        <v>0.08</v>
      </c>
      <c r="G518" s="39"/>
      <c r="H518" s="39"/>
      <c r="I518" s="39"/>
      <c r="J518" s="39">
        <v>0.08</v>
      </c>
      <c r="K518" s="42" t="s">
        <v>1043</v>
      </c>
      <c r="L518" s="42" t="s">
        <v>247</v>
      </c>
      <c r="M518" s="48">
        <v>28</v>
      </c>
      <c r="N518" s="206">
        <v>421</v>
      </c>
      <c r="O518" s="48"/>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v>0.08</v>
      </c>
      <c r="AX518" s="84"/>
      <c r="AY518" s="84"/>
      <c r="AZ518" s="84"/>
      <c r="BA518" s="84"/>
      <c r="BB518" s="84"/>
      <c r="BC518" s="84"/>
      <c r="BD518" s="84"/>
      <c r="BE518" s="118"/>
      <c r="BF518" s="84"/>
      <c r="BG518" s="84"/>
      <c r="BH518" s="84"/>
      <c r="BI518" s="84"/>
      <c r="BJ518" s="78">
        <f t="shared" si="61"/>
        <v>0</v>
      </c>
      <c r="BK518" s="84"/>
      <c r="BL518" s="44">
        <v>26</v>
      </c>
      <c r="BM518" s="79">
        <f t="shared" si="56"/>
        <v>0</v>
      </c>
      <c r="BN518" s="75"/>
      <c r="BO518" s="75"/>
    </row>
    <row r="519" spans="1:67" s="14" customFormat="1" ht="131.25" customHeight="1" x14ac:dyDescent="0.3">
      <c r="A519" s="48">
        <v>17</v>
      </c>
      <c r="B519" s="42" t="s">
        <v>257</v>
      </c>
      <c r="C519" s="48" t="s">
        <v>38</v>
      </c>
      <c r="D519" s="39">
        <v>1.5</v>
      </c>
      <c r="E519" s="39"/>
      <c r="F519" s="39">
        <v>1.5</v>
      </c>
      <c r="G519" s="39"/>
      <c r="H519" s="39"/>
      <c r="I519" s="39"/>
      <c r="J519" s="39">
        <v>1.5</v>
      </c>
      <c r="K519" s="42" t="s">
        <v>247</v>
      </c>
      <c r="L519" s="42" t="s">
        <v>247</v>
      </c>
      <c r="M519" s="48">
        <v>43</v>
      </c>
      <c r="N519" s="206">
        <v>422</v>
      </c>
      <c r="O519" s="48"/>
      <c r="P519" s="84"/>
      <c r="Q519" s="84"/>
      <c r="R519" s="84"/>
      <c r="S519" s="84"/>
      <c r="T519" s="84"/>
      <c r="U519" s="84"/>
      <c r="V519" s="84"/>
      <c r="W519" s="84"/>
      <c r="X519" s="84">
        <v>1.5</v>
      </c>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78">
        <f t="shared" si="61"/>
        <v>0</v>
      </c>
      <c r="BK519" s="84"/>
      <c r="BL519" s="44">
        <v>26</v>
      </c>
      <c r="BM519" s="79">
        <f t="shared" si="56"/>
        <v>0</v>
      </c>
      <c r="BN519" s="75"/>
      <c r="BO519" s="75"/>
    </row>
    <row r="520" spans="1:67" s="4" customFormat="1" ht="31.2" x14ac:dyDescent="0.3">
      <c r="A520" s="48">
        <v>18</v>
      </c>
      <c r="B520" s="42" t="s">
        <v>260</v>
      </c>
      <c r="C520" s="95" t="s">
        <v>38</v>
      </c>
      <c r="D520" s="39">
        <v>2.1</v>
      </c>
      <c r="E520" s="39"/>
      <c r="F520" s="39">
        <v>2.1</v>
      </c>
      <c r="G520" s="39">
        <v>2.1</v>
      </c>
      <c r="H520" s="39"/>
      <c r="I520" s="39"/>
      <c r="J520" s="39"/>
      <c r="K520" s="42" t="s">
        <v>247</v>
      </c>
      <c r="L520" s="42" t="s">
        <v>247</v>
      </c>
      <c r="M520" s="44">
        <v>52</v>
      </c>
      <c r="N520" s="209">
        <v>423</v>
      </c>
      <c r="O520" s="4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78">
        <f t="shared" si="61"/>
        <v>0</v>
      </c>
      <c r="BK520" s="84"/>
      <c r="BL520" s="44">
        <v>26</v>
      </c>
      <c r="BM520" s="79">
        <f t="shared" si="56"/>
        <v>0</v>
      </c>
      <c r="BN520" s="75"/>
      <c r="BO520" s="75"/>
    </row>
    <row r="521" spans="1:67" s="4" customFormat="1" ht="32.25" customHeight="1" x14ac:dyDescent="0.3">
      <c r="A521" s="48">
        <v>19</v>
      </c>
      <c r="B521" s="42" t="s">
        <v>267</v>
      </c>
      <c r="C521" s="48" t="s">
        <v>38</v>
      </c>
      <c r="D521" s="41">
        <v>0.48</v>
      </c>
      <c r="E521" s="41">
        <v>0.38</v>
      </c>
      <c r="F521" s="41">
        <v>0.1</v>
      </c>
      <c r="G521" s="39">
        <v>0.1</v>
      </c>
      <c r="H521" s="39"/>
      <c r="I521" s="39"/>
      <c r="J521" s="39"/>
      <c r="K521" s="42" t="s">
        <v>948</v>
      </c>
      <c r="L521" s="42" t="s">
        <v>261</v>
      </c>
      <c r="M521" s="48">
        <v>25</v>
      </c>
      <c r="N521" s="206">
        <v>424</v>
      </c>
      <c r="O521" s="48"/>
      <c r="P521" s="84"/>
      <c r="Q521" s="84"/>
      <c r="R521" s="84"/>
      <c r="S521" s="84"/>
      <c r="T521" s="84"/>
      <c r="U521" s="84"/>
      <c r="V521" s="84"/>
      <c r="W521" s="84"/>
      <c r="X521" s="84"/>
      <c r="Y521" s="84"/>
      <c r="Z521" s="84"/>
      <c r="AA521" s="84"/>
      <c r="AB521" s="84"/>
      <c r="AC521" s="84"/>
      <c r="AD521" s="84"/>
      <c r="AE521" s="84"/>
      <c r="AF521" s="84"/>
      <c r="AG521" s="118"/>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78">
        <f t="shared" si="61"/>
        <v>0</v>
      </c>
      <c r="BK521" s="84"/>
      <c r="BL521" s="44">
        <v>26</v>
      </c>
      <c r="BM521" s="79">
        <f t="shared" si="56"/>
        <v>0</v>
      </c>
      <c r="BN521" s="75"/>
      <c r="BO521" s="75"/>
    </row>
    <row r="522" spans="1:67" s="4" customFormat="1" ht="32.25" customHeight="1" x14ac:dyDescent="0.3">
      <c r="A522" s="48">
        <v>21</v>
      </c>
      <c r="B522" s="42" t="s">
        <v>268</v>
      </c>
      <c r="C522" s="48" t="s">
        <v>38</v>
      </c>
      <c r="D522" s="41">
        <v>0.95</v>
      </c>
      <c r="E522" s="41">
        <v>0.85</v>
      </c>
      <c r="F522" s="41">
        <v>0.1</v>
      </c>
      <c r="G522" s="39"/>
      <c r="H522" s="39"/>
      <c r="I522" s="39"/>
      <c r="J522" s="39">
        <v>0.1</v>
      </c>
      <c r="K522" s="42" t="s">
        <v>948</v>
      </c>
      <c r="L522" s="42" t="s">
        <v>261</v>
      </c>
      <c r="M522" s="48">
        <v>26</v>
      </c>
      <c r="N522" s="206">
        <v>426</v>
      </c>
      <c r="O522" s="48"/>
      <c r="P522" s="84"/>
      <c r="Q522" s="84"/>
      <c r="R522" s="84"/>
      <c r="S522" s="84"/>
      <c r="T522" s="84"/>
      <c r="U522" s="84"/>
      <c r="V522" s="84"/>
      <c r="W522" s="84"/>
      <c r="X522" s="84"/>
      <c r="Y522" s="84"/>
      <c r="Z522" s="84"/>
      <c r="AA522" s="84"/>
      <c r="AB522" s="84"/>
      <c r="AC522" s="84"/>
      <c r="AD522" s="84"/>
      <c r="AE522" s="84"/>
      <c r="AF522" s="84"/>
      <c r="AG522" s="84"/>
      <c r="AH522" s="84"/>
      <c r="AI522" s="84"/>
      <c r="AJ522" s="84"/>
      <c r="AK522" s="84">
        <v>0.1</v>
      </c>
      <c r="AL522" s="84"/>
      <c r="AM522" s="84"/>
      <c r="AN522" s="84"/>
      <c r="AO522" s="118"/>
      <c r="AP522" s="84"/>
      <c r="AQ522" s="84"/>
      <c r="AR522" s="84"/>
      <c r="AS522" s="84"/>
      <c r="AT522" s="84"/>
      <c r="AU522" s="84"/>
      <c r="AV522" s="84"/>
      <c r="AW522" s="84"/>
      <c r="AX522" s="84"/>
      <c r="AY522" s="84"/>
      <c r="AZ522" s="84"/>
      <c r="BA522" s="84"/>
      <c r="BB522" s="84"/>
      <c r="BC522" s="84"/>
      <c r="BD522" s="84"/>
      <c r="BE522" s="84"/>
      <c r="BF522" s="84"/>
      <c r="BG522" s="84"/>
      <c r="BH522" s="84"/>
      <c r="BI522" s="84"/>
      <c r="BJ522" s="78">
        <f t="shared" si="61"/>
        <v>0</v>
      </c>
      <c r="BK522" s="84"/>
      <c r="BL522" s="44">
        <v>26</v>
      </c>
      <c r="BM522" s="79">
        <f t="shared" si="56"/>
        <v>0</v>
      </c>
      <c r="BN522" s="75"/>
      <c r="BO522" s="75"/>
    </row>
    <row r="523" spans="1:67" s="4" customFormat="1" ht="32.25" customHeight="1" x14ac:dyDescent="0.3">
      <c r="A523" s="48">
        <v>22</v>
      </c>
      <c r="B523" s="42" t="s">
        <v>469</v>
      </c>
      <c r="C523" s="43" t="s">
        <v>38</v>
      </c>
      <c r="D523" s="41">
        <v>2.33</v>
      </c>
      <c r="E523" s="41">
        <v>2</v>
      </c>
      <c r="F523" s="41">
        <v>0.33</v>
      </c>
      <c r="G523" s="39">
        <v>0.33</v>
      </c>
      <c r="H523" s="39"/>
      <c r="I523" s="39"/>
      <c r="J523" s="39">
        <v>0</v>
      </c>
      <c r="K523" s="42" t="s">
        <v>949</v>
      </c>
      <c r="L523" s="42" t="s">
        <v>280</v>
      </c>
      <c r="M523" s="43">
        <v>18</v>
      </c>
      <c r="N523" s="210">
        <v>427</v>
      </c>
      <c r="O523" s="43"/>
      <c r="P523" s="84"/>
      <c r="Q523" s="84"/>
      <c r="R523" s="84"/>
      <c r="S523" s="84"/>
      <c r="T523" s="84"/>
      <c r="U523" s="84"/>
      <c r="V523" s="84"/>
      <c r="W523" s="84"/>
      <c r="X523" s="84"/>
      <c r="Y523" s="84"/>
      <c r="Z523" s="84"/>
      <c r="AA523" s="84"/>
      <c r="AB523" s="84"/>
      <c r="AC523" s="84"/>
      <c r="AD523" s="84"/>
      <c r="AE523" s="84"/>
      <c r="AF523" s="84"/>
      <c r="AG523" s="118"/>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78">
        <f t="shared" si="61"/>
        <v>0</v>
      </c>
      <c r="BK523" s="84"/>
      <c r="BL523" s="44">
        <v>26</v>
      </c>
      <c r="BM523" s="79">
        <f t="shared" si="56"/>
        <v>0</v>
      </c>
      <c r="BN523" s="75"/>
      <c r="BO523" s="75"/>
    </row>
    <row r="524" spans="1:67" s="4" customFormat="1" ht="32.25" customHeight="1" x14ac:dyDescent="0.3">
      <c r="A524" s="48">
        <v>23</v>
      </c>
      <c r="B524" s="42" t="s">
        <v>1057</v>
      </c>
      <c r="C524" s="43" t="s">
        <v>38</v>
      </c>
      <c r="D524" s="41">
        <v>0.14000000000000001</v>
      </c>
      <c r="E524" s="41"/>
      <c r="F524" s="41">
        <v>0.14000000000000001</v>
      </c>
      <c r="G524" s="39">
        <v>0.14000000000000001</v>
      </c>
      <c r="H524" s="39"/>
      <c r="I524" s="39"/>
      <c r="J524" s="39"/>
      <c r="K524" s="42"/>
      <c r="L524" s="42" t="s">
        <v>280</v>
      </c>
      <c r="M524" s="43"/>
      <c r="N524" s="210">
        <v>428</v>
      </c>
      <c r="O524" s="43"/>
      <c r="P524" s="84"/>
      <c r="Q524" s="84"/>
      <c r="R524" s="84"/>
      <c r="S524" s="84"/>
      <c r="T524" s="84"/>
      <c r="U524" s="84"/>
      <c r="V524" s="84"/>
      <c r="W524" s="84"/>
      <c r="X524" s="84"/>
      <c r="Y524" s="84"/>
      <c r="Z524" s="84"/>
      <c r="AA524" s="84"/>
      <c r="AB524" s="84"/>
      <c r="AC524" s="84"/>
      <c r="AD524" s="84"/>
      <c r="AE524" s="84"/>
      <c r="AF524" s="84"/>
      <c r="AG524" s="118"/>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78"/>
      <c r="BK524" s="84"/>
      <c r="BL524" s="44"/>
      <c r="BM524" s="79">
        <f t="shared" si="56"/>
        <v>0</v>
      </c>
      <c r="BN524" s="75"/>
      <c r="BO524" s="75"/>
    </row>
    <row r="525" spans="1:67" s="4" customFormat="1" ht="84.75" customHeight="1" x14ac:dyDescent="0.3">
      <c r="A525" s="48">
        <v>24</v>
      </c>
      <c r="B525" s="42" t="s">
        <v>59</v>
      </c>
      <c r="C525" s="48" t="s">
        <v>38</v>
      </c>
      <c r="D525" s="39">
        <v>0.35</v>
      </c>
      <c r="E525" s="39"/>
      <c r="F525" s="39">
        <v>0.35</v>
      </c>
      <c r="G525" s="39"/>
      <c r="H525" s="39"/>
      <c r="I525" s="39"/>
      <c r="J525" s="39">
        <v>0.35</v>
      </c>
      <c r="K525" s="42" t="s">
        <v>280</v>
      </c>
      <c r="L525" s="42" t="s">
        <v>280</v>
      </c>
      <c r="M525" s="48">
        <v>19</v>
      </c>
      <c r="N525" s="206">
        <v>429</v>
      </c>
      <c r="O525" s="48"/>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118">
        <v>0.35</v>
      </c>
      <c r="BF525" s="84"/>
      <c r="BG525" s="84"/>
      <c r="BH525" s="84"/>
      <c r="BI525" s="84"/>
      <c r="BJ525" s="78">
        <f t="shared" ref="BJ525:BJ577" si="62">D525-E525-F525</f>
        <v>0</v>
      </c>
      <c r="BK525" s="84"/>
      <c r="BL525" s="44">
        <v>26</v>
      </c>
      <c r="BM525" s="79">
        <f t="shared" si="56"/>
        <v>0</v>
      </c>
      <c r="BN525" s="75"/>
      <c r="BO525" s="75"/>
    </row>
    <row r="526" spans="1:67" s="4" customFormat="1" x14ac:dyDescent="0.3">
      <c r="A526" s="48">
        <v>25</v>
      </c>
      <c r="B526" s="42" t="s">
        <v>361</v>
      </c>
      <c r="C526" s="48" t="s">
        <v>38</v>
      </c>
      <c r="D526" s="39">
        <v>0.46</v>
      </c>
      <c r="E526" s="39"/>
      <c r="F526" s="39">
        <v>0.46</v>
      </c>
      <c r="G526" s="39">
        <v>0.46</v>
      </c>
      <c r="H526" s="39"/>
      <c r="I526" s="39"/>
      <c r="J526" s="39">
        <f>SUM(X526:BG526)</f>
        <v>0</v>
      </c>
      <c r="K526" s="42" t="s">
        <v>354</v>
      </c>
      <c r="L526" s="42" t="s">
        <v>347</v>
      </c>
      <c r="M526" s="44">
        <v>28</v>
      </c>
      <c r="N526" s="209">
        <v>430</v>
      </c>
      <c r="O526" s="4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4"/>
      <c r="BH526" s="79">
        <f>J526-SUM(V526:BG526)</f>
        <v>0</v>
      </c>
      <c r="BI526" s="79"/>
      <c r="BJ526" s="78">
        <f t="shared" si="62"/>
        <v>0</v>
      </c>
      <c r="BK526" s="48"/>
      <c r="BL526" s="44">
        <v>26</v>
      </c>
      <c r="BM526" s="79">
        <f t="shared" si="56"/>
        <v>0</v>
      </c>
      <c r="BN526" s="75"/>
      <c r="BO526" s="75"/>
    </row>
    <row r="527" spans="1:67" s="4" customFormat="1" ht="31.2" x14ac:dyDescent="0.3">
      <c r="A527" s="48">
        <v>26</v>
      </c>
      <c r="B527" s="42" t="s">
        <v>796</v>
      </c>
      <c r="C527" s="48" t="s">
        <v>38</v>
      </c>
      <c r="D527" s="108">
        <v>0.42</v>
      </c>
      <c r="E527" s="108"/>
      <c r="F527" s="108">
        <v>0.42</v>
      </c>
      <c r="G527" s="39">
        <v>0.22</v>
      </c>
      <c r="H527" s="39"/>
      <c r="I527" s="39"/>
      <c r="J527" s="39">
        <f>SUM(Z527:BG527)</f>
        <v>0.2</v>
      </c>
      <c r="K527" s="92"/>
      <c r="L527" s="42" t="s">
        <v>294</v>
      </c>
      <c r="M527" s="44">
        <v>45</v>
      </c>
      <c r="N527" s="209">
        <v>431</v>
      </c>
      <c r="O527" s="44"/>
      <c r="P527" s="84"/>
      <c r="Q527" s="84"/>
      <c r="R527" s="84"/>
      <c r="S527" s="84"/>
      <c r="T527" s="84"/>
      <c r="U527" s="84"/>
      <c r="V527" s="84"/>
      <c r="W527" s="84"/>
      <c r="X527" s="84"/>
      <c r="Y527" s="84"/>
      <c r="Z527" s="48"/>
      <c r="AA527" s="48"/>
      <c r="AB527" s="48"/>
      <c r="AC527" s="48"/>
      <c r="AD527" s="48"/>
      <c r="AE527" s="48"/>
      <c r="AF527" s="48"/>
      <c r="AG527" s="48"/>
      <c r="AH527" s="48"/>
      <c r="AI527" s="48"/>
      <c r="AJ527" s="48"/>
      <c r="AK527" s="48"/>
      <c r="AL527" s="48"/>
      <c r="AM527" s="48"/>
      <c r="AN527" s="48"/>
      <c r="AO527" s="48">
        <v>0.2</v>
      </c>
      <c r="AP527" s="48"/>
      <c r="AQ527" s="48"/>
      <c r="AR527" s="48"/>
      <c r="AS527" s="48"/>
      <c r="AT527" s="48"/>
      <c r="AU527" s="48"/>
      <c r="AV527" s="48"/>
      <c r="AW527" s="48"/>
      <c r="AX527" s="48"/>
      <c r="AY527" s="48"/>
      <c r="AZ527" s="48"/>
      <c r="BA527" s="48"/>
      <c r="BB527" s="48"/>
      <c r="BC527" s="48"/>
      <c r="BD527" s="48"/>
      <c r="BE527" s="48"/>
      <c r="BF527" s="48"/>
      <c r="BG527" s="48"/>
      <c r="BH527" s="48"/>
      <c r="BI527" s="48"/>
      <c r="BJ527" s="78">
        <f t="shared" si="62"/>
        <v>0</v>
      </c>
      <c r="BK527" s="48"/>
      <c r="BL527" s="44">
        <v>26</v>
      </c>
      <c r="BM527" s="79">
        <f t="shared" si="56"/>
        <v>0</v>
      </c>
      <c r="BN527" s="75"/>
      <c r="BO527" s="75"/>
    </row>
    <row r="528" spans="1:67" s="14" customFormat="1" ht="39.75" customHeight="1" x14ac:dyDescent="0.3">
      <c r="A528" s="48">
        <v>27</v>
      </c>
      <c r="B528" s="42" t="s">
        <v>773</v>
      </c>
      <c r="C528" s="48" t="s">
        <v>38</v>
      </c>
      <c r="D528" s="39">
        <v>0.14000000000000001</v>
      </c>
      <c r="E528" s="39"/>
      <c r="F528" s="39">
        <v>0.14000000000000001</v>
      </c>
      <c r="G528" s="39"/>
      <c r="H528" s="39"/>
      <c r="I528" s="39"/>
      <c r="J528" s="39">
        <f>SUM(V528:BG528)</f>
        <v>0.14000000000000001</v>
      </c>
      <c r="K528" s="42" t="s">
        <v>363</v>
      </c>
      <c r="L528" s="42" t="s">
        <v>364</v>
      </c>
      <c r="M528" s="43">
        <v>13</v>
      </c>
      <c r="N528" s="210">
        <v>432</v>
      </c>
      <c r="O528" s="43"/>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v>0.14000000000000001</v>
      </c>
      <c r="AX528" s="39"/>
      <c r="AY528" s="39"/>
      <c r="AZ528" s="39"/>
      <c r="BA528" s="39"/>
      <c r="BB528" s="39"/>
      <c r="BC528" s="39"/>
      <c r="BD528" s="39"/>
      <c r="BE528" s="39"/>
      <c r="BF528" s="39"/>
      <c r="BG528" s="39"/>
      <c r="BH528" s="39"/>
      <c r="BI528" s="39"/>
      <c r="BJ528" s="78">
        <f t="shared" si="62"/>
        <v>0</v>
      </c>
      <c r="BK528" s="84"/>
      <c r="BL528" s="44">
        <v>26</v>
      </c>
      <c r="BM528" s="79">
        <f t="shared" si="56"/>
        <v>0</v>
      </c>
      <c r="BN528" s="75"/>
      <c r="BO528" s="75"/>
    </row>
    <row r="529" spans="1:67" s="4" customFormat="1" x14ac:dyDescent="0.3">
      <c r="A529" s="48">
        <v>28</v>
      </c>
      <c r="B529" s="42" t="s">
        <v>471</v>
      </c>
      <c r="C529" s="48" t="s">
        <v>38</v>
      </c>
      <c r="D529" s="39">
        <v>0.24</v>
      </c>
      <c r="E529" s="39"/>
      <c r="F529" s="39">
        <v>0.24</v>
      </c>
      <c r="G529" s="39"/>
      <c r="H529" s="39"/>
      <c r="I529" s="39"/>
      <c r="J529" s="39">
        <f>SUM(Z529:BG529)</f>
        <v>0.24</v>
      </c>
      <c r="K529" s="42"/>
      <c r="L529" s="42" t="s">
        <v>377</v>
      </c>
      <c r="M529" s="43">
        <v>5</v>
      </c>
      <c r="N529" s="210">
        <v>433</v>
      </c>
      <c r="O529" s="43"/>
      <c r="P529" s="84"/>
      <c r="Q529" s="84"/>
      <c r="R529" s="84"/>
      <c r="S529" s="84"/>
      <c r="T529" s="84"/>
      <c r="U529" s="84"/>
      <c r="V529" s="84"/>
      <c r="W529" s="84"/>
      <c r="X529" s="84"/>
      <c r="Y529" s="84"/>
      <c r="Z529" s="84">
        <v>0.24</v>
      </c>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4"/>
      <c r="BH529" s="84"/>
      <c r="BI529" s="84"/>
      <c r="BJ529" s="78">
        <f t="shared" si="62"/>
        <v>0</v>
      </c>
      <c r="BK529" s="84"/>
      <c r="BL529" s="44">
        <v>26</v>
      </c>
      <c r="BM529" s="79">
        <f t="shared" ref="BM529:BM555" si="63">J529-SUM(V529:BH529)</f>
        <v>0</v>
      </c>
      <c r="BN529" s="75"/>
      <c r="BO529" s="75"/>
    </row>
    <row r="530" spans="1:67" s="4" customFormat="1" x14ac:dyDescent="0.3">
      <c r="A530" s="48">
        <v>29</v>
      </c>
      <c r="B530" s="42" t="s">
        <v>379</v>
      </c>
      <c r="C530" s="48" t="s">
        <v>38</v>
      </c>
      <c r="D530" s="39">
        <v>0.8</v>
      </c>
      <c r="E530" s="39"/>
      <c r="F530" s="39">
        <v>0.8</v>
      </c>
      <c r="G530" s="39"/>
      <c r="H530" s="39"/>
      <c r="I530" s="39"/>
      <c r="J530" s="39">
        <f>SUM(Z530:BG530)</f>
        <v>0.8</v>
      </c>
      <c r="K530" s="42" t="s">
        <v>380</v>
      </c>
      <c r="L530" s="42" t="s">
        <v>377</v>
      </c>
      <c r="M530" s="43">
        <v>9</v>
      </c>
      <c r="N530" s="210">
        <v>434</v>
      </c>
      <c r="O530" s="43"/>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f>0.67-0.13</f>
        <v>0.54</v>
      </c>
      <c r="AP530" s="84"/>
      <c r="AQ530" s="84"/>
      <c r="AR530" s="84"/>
      <c r="AS530" s="84"/>
      <c r="AT530" s="84"/>
      <c r="AU530" s="84"/>
      <c r="AV530" s="84"/>
      <c r="AW530" s="84"/>
      <c r="AX530" s="84"/>
      <c r="AY530" s="84"/>
      <c r="AZ530" s="84"/>
      <c r="BA530" s="84"/>
      <c r="BB530" s="84"/>
      <c r="BC530" s="84"/>
      <c r="BD530" s="84"/>
      <c r="BE530" s="79">
        <v>0.26</v>
      </c>
      <c r="BF530" s="84"/>
      <c r="BG530" s="84"/>
      <c r="BH530" s="84"/>
      <c r="BI530" s="84"/>
      <c r="BJ530" s="78">
        <f t="shared" si="62"/>
        <v>0</v>
      </c>
      <c r="BK530" s="84"/>
      <c r="BL530" s="44">
        <v>26</v>
      </c>
      <c r="BM530" s="79">
        <f t="shared" si="63"/>
        <v>0</v>
      </c>
      <c r="BN530" s="75"/>
      <c r="BO530" s="75"/>
    </row>
    <row r="531" spans="1:67" s="4" customFormat="1" ht="31.2" x14ac:dyDescent="0.3">
      <c r="A531" s="48">
        <v>30</v>
      </c>
      <c r="B531" s="42" t="s">
        <v>417</v>
      </c>
      <c r="C531" s="48" t="s">
        <v>38</v>
      </c>
      <c r="D531" s="39">
        <v>5.48</v>
      </c>
      <c r="E531" s="39"/>
      <c r="F531" s="39">
        <v>5.48</v>
      </c>
      <c r="G531" s="39">
        <f>5.48-0.22</f>
        <v>5.2600000000000007</v>
      </c>
      <c r="H531" s="39"/>
      <c r="I531" s="39"/>
      <c r="J531" s="39">
        <f>SUM(P531:BG531)</f>
        <v>0.22</v>
      </c>
      <c r="K531" s="42" t="s">
        <v>418</v>
      </c>
      <c r="L531" s="42" t="s">
        <v>415</v>
      </c>
      <c r="M531" s="43">
        <v>15</v>
      </c>
      <c r="N531" s="210">
        <v>435</v>
      </c>
      <c r="O531" s="43"/>
      <c r="P531" s="84"/>
      <c r="Q531" s="84"/>
      <c r="R531" s="84"/>
      <c r="S531" s="84"/>
      <c r="T531" s="84"/>
      <c r="U531" s="84"/>
      <c r="V531" s="84"/>
      <c r="W531" s="84"/>
      <c r="X531" s="84"/>
      <c r="Y531" s="84"/>
      <c r="Z531" s="84">
        <v>0.22</v>
      </c>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4"/>
      <c r="BH531" s="84"/>
      <c r="BI531" s="84"/>
      <c r="BJ531" s="78">
        <f t="shared" si="62"/>
        <v>0</v>
      </c>
      <c r="BK531" s="84"/>
      <c r="BL531" s="44">
        <v>26</v>
      </c>
      <c r="BM531" s="79">
        <f t="shared" si="63"/>
        <v>0</v>
      </c>
      <c r="BN531" s="75"/>
      <c r="BO531" s="75"/>
    </row>
    <row r="532" spans="1:67" s="4" customFormat="1" ht="31.2" x14ac:dyDescent="0.3">
      <c r="A532" s="48">
        <v>31</v>
      </c>
      <c r="B532" s="42" t="s">
        <v>419</v>
      </c>
      <c r="C532" s="48" t="s">
        <v>38</v>
      </c>
      <c r="D532" s="39">
        <v>0.22</v>
      </c>
      <c r="E532" s="39"/>
      <c r="F532" s="39">
        <v>0.22</v>
      </c>
      <c r="G532" s="39">
        <v>7.0000000000000007E-2</v>
      </c>
      <c r="H532" s="39"/>
      <c r="I532" s="39"/>
      <c r="J532" s="39">
        <f>SUM(P532:BG532)</f>
        <v>0.15</v>
      </c>
      <c r="K532" s="42" t="s">
        <v>420</v>
      </c>
      <c r="L532" s="42" t="s">
        <v>415</v>
      </c>
      <c r="M532" s="43">
        <v>17</v>
      </c>
      <c r="N532" s="210">
        <v>436</v>
      </c>
      <c r="O532" s="43"/>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79">
        <v>0.15</v>
      </c>
      <c r="BF532" s="84"/>
      <c r="BG532" s="84"/>
      <c r="BH532" s="84"/>
      <c r="BI532" s="84"/>
      <c r="BJ532" s="78">
        <f t="shared" si="62"/>
        <v>0</v>
      </c>
      <c r="BK532" s="84"/>
      <c r="BL532" s="44">
        <v>26</v>
      </c>
      <c r="BM532" s="79">
        <f t="shared" si="63"/>
        <v>0</v>
      </c>
      <c r="BN532" s="75"/>
      <c r="BO532" s="75"/>
    </row>
    <row r="533" spans="1:67" s="4" customFormat="1" ht="31.2" x14ac:dyDescent="0.3">
      <c r="A533" s="48">
        <v>32</v>
      </c>
      <c r="B533" s="42" t="s">
        <v>781</v>
      </c>
      <c r="C533" s="48" t="s">
        <v>38</v>
      </c>
      <c r="D533" s="39">
        <v>0.35</v>
      </c>
      <c r="E533" s="39"/>
      <c r="F533" s="39">
        <v>0.35</v>
      </c>
      <c r="G533" s="39"/>
      <c r="H533" s="39"/>
      <c r="I533" s="39"/>
      <c r="J533" s="39">
        <f>SUM(P533:BG533)</f>
        <v>0.35</v>
      </c>
      <c r="K533" s="42" t="s">
        <v>439</v>
      </c>
      <c r="L533" s="42" t="s">
        <v>415</v>
      </c>
      <c r="M533" s="43">
        <v>38</v>
      </c>
      <c r="N533" s="210">
        <v>437</v>
      </c>
      <c r="O533" s="43"/>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v>0.35</v>
      </c>
      <c r="AP533" s="84"/>
      <c r="AQ533" s="84"/>
      <c r="AR533" s="84"/>
      <c r="AS533" s="84"/>
      <c r="AT533" s="84"/>
      <c r="AU533" s="84"/>
      <c r="AV533" s="84"/>
      <c r="AW533" s="84"/>
      <c r="AX533" s="84"/>
      <c r="AY533" s="84"/>
      <c r="AZ533" s="84"/>
      <c r="BA533" s="84"/>
      <c r="BB533" s="84"/>
      <c r="BC533" s="84"/>
      <c r="BD533" s="84"/>
      <c r="BE533" s="84"/>
      <c r="BF533" s="84"/>
      <c r="BG533" s="84"/>
      <c r="BH533" s="84"/>
      <c r="BI533" s="84"/>
      <c r="BJ533" s="78">
        <f t="shared" si="62"/>
        <v>0</v>
      </c>
      <c r="BK533" s="84"/>
      <c r="BL533" s="44">
        <v>26</v>
      </c>
      <c r="BM533" s="79">
        <f t="shared" si="63"/>
        <v>0</v>
      </c>
      <c r="BN533" s="75"/>
      <c r="BO533" s="75"/>
    </row>
    <row r="534" spans="1:67" s="4" customFormat="1" x14ac:dyDescent="0.3">
      <c r="A534" s="48">
        <v>33</v>
      </c>
      <c r="B534" s="42" t="s">
        <v>470</v>
      </c>
      <c r="C534" s="43" t="s">
        <v>38</v>
      </c>
      <c r="D534" s="41">
        <v>1</v>
      </c>
      <c r="E534" s="41"/>
      <c r="F534" s="41">
        <v>1</v>
      </c>
      <c r="G534" s="41"/>
      <c r="H534" s="41"/>
      <c r="I534" s="41"/>
      <c r="J534" s="41">
        <v>1</v>
      </c>
      <c r="K534" s="42" t="s">
        <v>688</v>
      </c>
      <c r="L534" s="42" t="s">
        <v>688</v>
      </c>
      <c r="M534" s="43">
        <v>31</v>
      </c>
      <c r="N534" s="210">
        <v>438</v>
      </c>
      <c r="O534" s="43"/>
      <c r="P534" s="97"/>
      <c r="Q534" s="97"/>
      <c r="R534" s="97"/>
      <c r="S534" s="97"/>
      <c r="T534" s="97"/>
      <c r="U534" s="97"/>
      <c r="V534" s="97"/>
      <c r="W534" s="97"/>
      <c r="X534" s="97"/>
      <c r="Y534" s="97"/>
      <c r="Z534" s="97">
        <v>1</v>
      </c>
      <c r="AA534" s="97"/>
      <c r="AB534" s="97"/>
      <c r="AC534" s="97"/>
      <c r="AD534" s="97"/>
      <c r="AE534" s="97"/>
      <c r="AF534" s="97"/>
      <c r="AG534" s="100"/>
      <c r="AH534" s="97"/>
      <c r="AI534" s="97"/>
      <c r="AJ534" s="97"/>
      <c r="AK534" s="97"/>
      <c r="AL534" s="97"/>
      <c r="AM534" s="97"/>
      <c r="AN534" s="97"/>
      <c r="AO534" s="97"/>
      <c r="AP534" s="97"/>
      <c r="AQ534" s="97"/>
      <c r="AR534" s="97"/>
      <c r="AS534" s="97"/>
      <c r="AT534" s="97"/>
      <c r="AU534" s="97"/>
      <c r="AV534" s="97"/>
      <c r="AW534" s="97"/>
      <c r="AX534" s="97"/>
      <c r="AY534" s="97"/>
      <c r="AZ534" s="97"/>
      <c r="BA534" s="97"/>
      <c r="BB534" s="97"/>
      <c r="BC534" s="97"/>
      <c r="BD534" s="97"/>
      <c r="BE534" s="97"/>
      <c r="BF534" s="97"/>
      <c r="BG534" s="97"/>
      <c r="BH534" s="97"/>
      <c r="BI534" s="97"/>
      <c r="BJ534" s="78">
        <f t="shared" si="62"/>
        <v>0</v>
      </c>
      <c r="BK534" s="97"/>
      <c r="BL534" s="97">
        <v>26</v>
      </c>
      <c r="BM534" s="79">
        <f t="shared" si="63"/>
        <v>0</v>
      </c>
      <c r="BN534" s="75"/>
      <c r="BO534" s="75"/>
    </row>
    <row r="535" spans="1:67" s="4" customFormat="1" x14ac:dyDescent="0.3">
      <c r="A535" s="48">
        <v>34</v>
      </c>
      <c r="B535" s="42" t="s">
        <v>714</v>
      </c>
      <c r="C535" s="43" t="s">
        <v>38</v>
      </c>
      <c r="D535" s="41">
        <v>0.42</v>
      </c>
      <c r="E535" s="41"/>
      <c r="F535" s="41">
        <v>0.42</v>
      </c>
      <c r="G535" s="41"/>
      <c r="H535" s="41"/>
      <c r="I535" s="41"/>
      <c r="J535" s="41">
        <v>0.42</v>
      </c>
      <c r="K535" s="42" t="s">
        <v>688</v>
      </c>
      <c r="L535" s="42" t="s">
        <v>688</v>
      </c>
      <c r="M535" s="43">
        <v>32</v>
      </c>
      <c r="N535" s="210">
        <v>439</v>
      </c>
      <c r="O535" s="43"/>
      <c r="P535" s="97"/>
      <c r="Q535" s="97"/>
      <c r="R535" s="97"/>
      <c r="S535" s="97"/>
      <c r="T535" s="97"/>
      <c r="U535" s="97"/>
      <c r="V535" s="97"/>
      <c r="W535" s="97"/>
      <c r="X535" s="97"/>
      <c r="Y535" s="97"/>
      <c r="Z535" s="97">
        <v>0.42</v>
      </c>
      <c r="AA535" s="97"/>
      <c r="AB535" s="97"/>
      <c r="AC535" s="97"/>
      <c r="AD535" s="97"/>
      <c r="AE535" s="97"/>
      <c r="AF535" s="97"/>
      <c r="AG535" s="100"/>
      <c r="AH535" s="97"/>
      <c r="AI535" s="97"/>
      <c r="AJ535" s="97"/>
      <c r="AK535" s="97"/>
      <c r="AL535" s="97"/>
      <c r="AM535" s="97"/>
      <c r="AN535" s="97"/>
      <c r="AO535" s="97"/>
      <c r="AP535" s="97"/>
      <c r="AQ535" s="97"/>
      <c r="AR535" s="97"/>
      <c r="AS535" s="97"/>
      <c r="AT535" s="97"/>
      <c r="AU535" s="97"/>
      <c r="AV535" s="97"/>
      <c r="AW535" s="97"/>
      <c r="AX535" s="97"/>
      <c r="AY535" s="97"/>
      <c r="AZ535" s="97"/>
      <c r="BA535" s="97"/>
      <c r="BB535" s="97"/>
      <c r="BC535" s="97"/>
      <c r="BD535" s="97"/>
      <c r="BE535" s="97"/>
      <c r="BF535" s="97"/>
      <c r="BG535" s="97"/>
      <c r="BH535" s="97"/>
      <c r="BI535" s="97"/>
      <c r="BJ535" s="78">
        <f t="shared" si="62"/>
        <v>0</v>
      </c>
      <c r="BK535" s="97"/>
      <c r="BL535" s="97">
        <v>26</v>
      </c>
      <c r="BM535" s="79">
        <f t="shared" si="63"/>
        <v>0</v>
      </c>
      <c r="BN535" s="75"/>
      <c r="BO535" s="75"/>
    </row>
    <row r="536" spans="1:67" s="4" customFormat="1" ht="31.2" x14ac:dyDescent="0.3">
      <c r="A536" s="48">
        <v>35</v>
      </c>
      <c r="B536" s="42" t="s">
        <v>790</v>
      </c>
      <c r="C536" s="43" t="s">
        <v>38</v>
      </c>
      <c r="D536" s="41">
        <v>2.98</v>
      </c>
      <c r="E536" s="41">
        <v>2.52</v>
      </c>
      <c r="F536" s="41">
        <f>D536-E536</f>
        <v>0.45999999999999996</v>
      </c>
      <c r="G536" s="41"/>
      <c r="H536" s="41"/>
      <c r="I536" s="41"/>
      <c r="J536" s="41">
        <v>0.46</v>
      </c>
      <c r="K536" s="42" t="s">
        <v>859</v>
      </c>
      <c r="L536" s="42" t="s">
        <v>688</v>
      </c>
      <c r="M536" s="43">
        <v>24</v>
      </c>
      <c r="N536" s="210">
        <v>440</v>
      </c>
      <c r="O536" s="43"/>
      <c r="P536" s="97"/>
      <c r="Q536" s="97"/>
      <c r="R536" s="97"/>
      <c r="S536" s="97"/>
      <c r="T536" s="97"/>
      <c r="U536" s="97"/>
      <c r="V536" s="97"/>
      <c r="W536" s="97"/>
      <c r="X536" s="97"/>
      <c r="Y536" s="97"/>
      <c r="Z536" s="97">
        <v>0.46</v>
      </c>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7"/>
      <c r="AY536" s="97"/>
      <c r="AZ536" s="97"/>
      <c r="BA536" s="97"/>
      <c r="BB536" s="97"/>
      <c r="BC536" s="97"/>
      <c r="BD536" s="97"/>
      <c r="BE536" s="97"/>
      <c r="BF536" s="97"/>
      <c r="BG536" s="97"/>
      <c r="BH536" s="97"/>
      <c r="BI536" s="97"/>
      <c r="BJ536" s="78">
        <f t="shared" si="62"/>
        <v>0</v>
      </c>
      <c r="BK536" s="97" t="s">
        <v>715</v>
      </c>
      <c r="BL536" s="97">
        <v>26</v>
      </c>
      <c r="BM536" s="79">
        <f t="shared" si="63"/>
        <v>0</v>
      </c>
      <c r="BN536" s="75"/>
      <c r="BO536" s="75"/>
    </row>
    <row r="537" spans="1:67" s="4" customFormat="1" ht="31.2" x14ac:dyDescent="0.3">
      <c r="A537" s="48">
        <v>36</v>
      </c>
      <c r="B537" s="42" t="s">
        <v>791</v>
      </c>
      <c r="C537" s="43" t="s">
        <v>38</v>
      </c>
      <c r="D537" s="41">
        <v>1.77</v>
      </c>
      <c r="E537" s="41">
        <v>1.47</v>
      </c>
      <c r="F537" s="41">
        <v>0.3</v>
      </c>
      <c r="G537" s="41"/>
      <c r="H537" s="41"/>
      <c r="I537" s="41"/>
      <c r="J537" s="41">
        <v>0.3</v>
      </c>
      <c r="K537" s="42" t="s">
        <v>846</v>
      </c>
      <c r="L537" s="42" t="s">
        <v>688</v>
      </c>
      <c r="M537" s="43">
        <v>33</v>
      </c>
      <c r="N537" s="210">
        <v>441</v>
      </c>
      <c r="O537" s="43"/>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v>0.3</v>
      </c>
      <c r="AP537" s="97"/>
      <c r="AQ537" s="97"/>
      <c r="AR537" s="97"/>
      <c r="AS537" s="97"/>
      <c r="AT537" s="97"/>
      <c r="AU537" s="97"/>
      <c r="AV537" s="97"/>
      <c r="AW537" s="97"/>
      <c r="AX537" s="97"/>
      <c r="AY537" s="97"/>
      <c r="AZ537" s="97"/>
      <c r="BA537" s="97"/>
      <c r="BB537" s="97"/>
      <c r="BC537" s="97"/>
      <c r="BD537" s="97"/>
      <c r="BE537" s="97"/>
      <c r="BF537" s="97"/>
      <c r="BG537" s="97"/>
      <c r="BH537" s="97"/>
      <c r="BI537" s="97"/>
      <c r="BJ537" s="78">
        <f t="shared" si="62"/>
        <v>0</v>
      </c>
      <c r="BK537" s="97" t="s">
        <v>716</v>
      </c>
      <c r="BL537" s="97">
        <v>26</v>
      </c>
      <c r="BM537" s="79">
        <f t="shared" si="63"/>
        <v>0</v>
      </c>
      <c r="BN537" s="75"/>
      <c r="BO537" s="75"/>
    </row>
    <row r="538" spans="1:67" s="61" customFormat="1" x14ac:dyDescent="0.3">
      <c r="A538" s="48">
        <v>37</v>
      </c>
      <c r="B538" s="42" t="s">
        <v>797</v>
      </c>
      <c r="C538" s="43" t="s">
        <v>38</v>
      </c>
      <c r="D538" s="41">
        <v>0.08</v>
      </c>
      <c r="E538" s="41"/>
      <c r="F538" s="41">
        <v>0.08</v>
      </c>
      <c r="G538" s="41"/>
      <c r="H538" s="41"/>
      <c r="I538" s="41"/>
      <c r="J538" s="41">
        <v>0.08</v>
      </c>
      <c r="K538" s="42"/>
      <c r="L538" s="42" t="s">
        <v>395</v>
      </c>
      <c r="M538" s="43" t="s">
        <v>672</v>
      </c>
      <c r="N538" s="210">
        <v>442</v>
      </c>
      <c r="O538" s="43"/>
      <c r="P538" s="97"/>
      <c r="Q538" s="97"/>
      <c r="R538" s="97"/>
      <c r="S538" s="97"/>
      <c r="T538" s="97"/>
      <c r="U538" s="97"/>
      <c r="V538" s="97"/>
      <c r="W538" s="97"/>
      <c r="X538" s="97"/>
      <c r="Y538" s="97"/>
      <c r="Z538" s="97"/>
      <c r="AA538" s="97"/>
      <c r="AB538" s="97"/>
      <c r="AC538" s="97"/>
      <c r="AD538" s="97"/>
      <c r="AE538" s="97"/>
      <c r="AF538" s="97"/>
      <c r="AG538" s="97"/>
      <c r="AH538" s="97"/>
      <c r="AI538" s="97"/>
      <c r="AJ538" s="97"/>
      <c r="AK538" s="97"/>
      <c r="AL538" s="97"/>
      <c r="AM538" s="97"/>
      <c r="AN538" s="97"/>
      <c r="AO538" s="97"/>
      <c r="AP538" s="97"/>
      <c r="AQ538" s="97"/>
      <c r="AR538" s="97"/>
      <c r="AS538" s="97"/>
      <c r="AT538" s="97"/>
      <c r="AU538" s="97"/>
      <c r="AV538" s="97"/>
      <c r="AW538" s="97"/>
      <c r="AX538" s="97"/>
      <c r="AY538" s="97"/>
      <c r="AZ538" s="97"/>
      <c r="BA538" s="97"/>
      <c r="BB538" s="97"/>
      <c r="BC538" s="97"/>
      <c r="BD538" s="97"/>
      <c r="BE538" s="141">
        <v>0.08</v>
      </c>
      <c r="BF538" s="97"/>
      <c r="BG538" s="97"/>
      <c r="BH538" s="97"/>
      <c r="BI538" s="97"/>
      <c r="BJ538" s="78">
        <f t="shared" si="62"/>
        <v>0</v>
      </c>
      <c r="BK538" s="97"/>
      <c r="BL538" s="97"/>
      <c r="BM538" s="79">
        <f t="shared" si="63"/>
        <v>0</v>
      </c>
      <c r="BN538" s="75"/>
      <c r="BO538" s="75"/>
    </row>
    <row r="539" spans="1:67" s="4" customFormat="1" ht="52.5" customHeight="1" x14ac:dyDescent="0.3">
      <c r="A539" s="48">
        <v>38</v>
      </c>
      <c r="B539" s="42" t="s">
        <v>792</v>
      </c>
      <c r="C539" s="43" t="s">
        <v>38</v>
      </c>
      <c r="D539" s="41">
        <v>1.2</v>
      </c>
      <c r="E539" s="41"/>
      <c r="F539" s="41">
        <v>1.2</v>
      </c>
      <c r="G539" s="41"/>
      <c r="H539" s="41"/>
      <c r="I539" s="41"/>
      <c r="J539" s="41">
        <v>1.2</v>
      </c>
      <c r="K539" s="42" t="s">
        <v>859</v>
      </c>
      <c r="L539" s="42" t="s">
        <v>688</v>
      </c>
      <c r="M539" s="43">
        <v>66</v>
      </c>
      <c r="N539" s="210">
        <v>443</v>
      </c>
      <c r="O539" s="43"/>
      <c r="P539" s="97"/>
      <c r="Q539" s="97"/>
      <c r="R539" s="97"/>
      <c r="S539" s="97"/>
      <c r="T539" s="97"/>
      <c r="U539" s="97"/>
      <c r="V539" s="97"/>
      <c r="W539" s="97"/>
      <c r="X539" s="97"/>
      <c r="Y539" s="97"/>
      <c r="Z539" s="97">
        <v>1.2</v>
      </c>
      <c r="AA539" s="97"/>
      <c r="AB539" s="97"/>
      <c r="AC539" s="97"/>
      <c r="AD539" s="97"/>
      <c r="AE539" s="97"/>
      <c r="AF539" s="97"/>
      <c r="AG539" s="97"/>
      <c r="AH539" s="97"/>
      <c r="AI539" s="97"/>
      <c r="AJ539" s="97"/>
      <c r="AK539" s="97"/>
      <c r="AL539" s="97"/>
      <c r="AM539" s="97"/>
      <c r="AN539" s="97"/>
      <c r="AO539" s="97"/>
      <c r="AP539" s="97"/>
      <c r="AQ539" s="97"/>
      <c r="AR539" s="97"/>
      <c r="AS539" s="97"/>
      <c r="AT539" s="97"/>
      <c r="AU539" s="97"/>
      <c r="AV539" s="97"/>
      <c r="AW539" s="97"/>
      <c r="AX539" s="97"/>
      <c r="AY539" s="97"/>
      <c r="AZ539" s="97"/>
      <c r="BA539" s="97"/>
      <c r="BB539" s="97"/>
      <c r="BC539" s="97"/>
      <c r="BD539" s="97"/>
      <c r="BE539" s="97"/>
      <c r="BF539" s="97"/>
      <c r="BG539" s="97"/>
      <c r="BH539" s="97"/>
      <c r="BI539" s="97"/>
      <c r="BJ539" s="78">
        <f t="shared" si="62"/>
        <v>0</v>
      </c>
      <c r="BK539" s="97"/>
      <c r="BL539" s="97">
        <v>26</v>
      </c>
      <c r="BM539" s="79">
        <f t="shared" si="63"/>
        <v>0</v>
      </c>
      <c r="BN539" s="75"/>
      <c r="BO539" s="75"/>
    </row>
    <row r="540" spans="1:67" ht="31.2" x14ac:dyDescent="0.3">
      <c r="A540" s="76" t="s">
        <v>631</v>
      </c>
      <c r="B540" s="77" t="s">
        <v>632</v>
      </c>
      <c r="C540" s="80" t="s">
        <v>39</v>
      </c>
      <c r="D540" s="81">
        <f t="shared" ref="D540:L540" si="64">SUM(D541:D548)</f>
        <v>7.0500000000000007</v>
      </c>
      <c r="E540" s="81">
        <f t="shared" si="64"/>
        <v>0.6</v>
      </c>
      <c r="F540" s="81">
        <f t="shared" si="64"/>
        <v>6.4499999999999993</v>
      </c>
      <c r="G540" s="81">
        <f t="shared" si="64"/>
        <v>2.14</v>
      </c>
      <c r="H540" s="81">
        <f t="shared" si="64"/>
        <v>0</v>
      </c>
      <c r="I540" s="81">
        <f t="shared" si="64"/>
        <v>0</v>
      </c>
      <c r="J540" s="81">
        <f t="shared" si="64"/>
        <v>4.3099999999999996</v>
      </c>
      <c r="K540" s="82">
        <f t="shared" si="64"/>
        <v>0</v>
      </c>
      <c r="L540" s="82">
        <f t="shared" si="64"/>
        <v>0</v>
      </c>
      <c r="M540" s="83"/>
      <c r="N540" s="83"/>
      <c r="O540" s="83"/>
      <c r="P540" s="83">
        <f t="shared" ref="P540:BH540" si="65">SUM(P541:P548)</f>
        <v>0</v>
      </c>
      <c r="Q540" s="83">
        <f t="shared" si="65"/>
        <v>0</v>
      </c>
      <c r="R540" s="83">
        <f t="shared" si="65"/>
        <v>0</v>
      </c>
      <c r="S540" s="83">
        <f t="shared" si="65"/>
        <v>0</v>
      </c>
      <c r="T540" s="83">
        <f t="shared" si="65"/>
        <v>0</v>
      </c>
      <c r="U540" s="83">
        <f t="shared" si="65"/>
        <v>0</v>
      </c>
      <c r="V540" s="83">
        <f t="shared" si="65"/>
        <v>0</v>
      </c>
      <c r="W540" s="83">
        <f t="shared" si="65"/>
        <v>0</v>
      </c>
      <c r="X540" s="83">
        <f t="shared" si="65"/>
        <v>0.65</v>
      </c>
      <c r="Y540" s="83">
        <f t="shared" si="65"/>
        <v>0</v>
      </c>
      <c r="Z540" s="83">
        <f t="shared" si="65"/>
        <v>2.4900000000000002</v>
      </c>
      <c r="AA540" s="83">
        <f t="shared" si="65"/>
        <v>0</v>
      </c>
      <c r="AB540" s="83">
        <f t="shared" si="65"/>
        <v>0.27</v>
      </c>
      <c r="AC540" s="83">
        <f t="shared" si="65"/>
        <v>0</v>
      </c>
      <c r="AD540" s="83">
        <f t="shared" si="65"/>
        <v>0</v>
      </c>
      <c r="AE540" s="83">
        <f t="shared" si="65"/>
        <v>0</v>
      </c>
      <c r="AF540" s="83">
        <f t="shared" si="65"/>
        <v>0</v>
      </c>
      <c r="AG540" s="83">
        <f t="shared" si="65"/>
        <v>0</v>
      </c>
      <c r="AH540" s="83">
        <f t="shared" si="65"/>
        <v>0</v>
      </c>
      <c r="AI540" s="83">
        <f t="shared" si="65"/>
        <v>0</v>
      </c>
      <c r="AJ540" s="83">
        <f t="shared" si="65"/>
        <v>0</v>
      </c>
      <c r="AK540" s="83">
        <f t="shared" si="65"/>
        <v>0</v>
      </c>
      <c r="AL540" s="83">
        <f t="shared" si="65"/>
        <v>0</v>
      </c>
      <c r="AM540" s="83">
        <f t="shared" si="65"/>
        <v>0</v>
      </c>
      <c r="AN540" s="83">
        <f t="shared" si="65"/>
        <v>0</v>
      </c>
      <c r="AO540" s="83">
        <f t="shared" si="65"/>
        <v>0.55000000000000004</v>
      </c>
      <c r="AP540" s="83">
        <f t="shared" si="65"/>
        <v>0</v>
      </c>
      <c r="AQ540" s="83">
        <f t="shared" si="65"/>
        <v>0</v>
      </c>
      <c r="AR540" s="83">
        <f t="shared" si="65"/>
        <v>0</v>
      </c>
      <c r="AS540" s="83">
        <f t="shared" si="65"/>
        <v>0</v>
      </c>
      <c r="AT540" s="83">
        <f t="shared" si="65"/>
        <v>0</v>
      </c>
      <c r="AU540" s="83">
        <f t="shared" si="65"/>
        <v>0</v>
      </c>
      <c r="AV540" s="83">
        <f t="shared" si="65"/>
        <v>0</v>
      </c>
      <c r="AW540" s="83">
        <f t="shared" si="65"/>
        <v>0</v>
      </c>
      <c r="AX540" s="83">
        <f t="shared" si="65"/>
        <v>0</v>
      </c>
      <c r="AY540" s="83">
        <f t="shared" si="65"/>
        <v>0</v>
      </c>
      <c r="AZ540" s="83">
        <f t="shared" si="65"/>
        <v>0</v>
      </c>
      <c r="BA540" s="83">
        <f t="shared" si="65"/>
        <v>0</v>
      </c>
      <c r="BB540" s="83">
        <f t="shared" si="65"/>
        <v>0</v>
      </c>
      <c r="BC540" s="83">
        <f t="shared" si="65"/>
        <v>0</v>
      </c>
      <c r="BD540" s="83">
        <f t="shared" si="65"/>
        <v>0</v>
      </c>
      <c r="BE540" s="83">
        <f t="shared" si="65"/>
        <v>0.35</v>
      </c>
      <c r="BF540" s="83">
        <f t="shared" si="65"/>
        <v>0</v>
      </c>
      <c r="BG540" s="83">
        <f t="shared" si="65"/>
        <v>0</v>
      </c>
      <c r="BH540" s="83">
        <f t="shared" si="65"/>
        <v>0</v>
      </c>
      <c r="BI540" s="83"/>
      <c r="BJ540" s="78">
        <f t="shared" si="62"/>
        <v>0</v>
      </c>
      <c r="BK540" s="84"/>
      <c r="BL540" s="44">
        <v>27</v>
      </c>
      <c r="BM540" s="79">
        <f t="shared" si="63"/>
        <v>0</v>
      </c>
      <c r="BN540" s="75"/>
      <c r="BO540" s="75"/>
    </row>
    <row r="541" spans="1:67" s="4" customFormat="1" ht="62.4" x14ac:dyDescent="0.3">
      <c r="A541" s="48">
        <v>1</v>
      </c>
      <c r="B541" s="50" t="s">
        <v>868</v>
      </c>
      <c r="C541" s="39" t="s">
        <v>39</v>
      </c>
      <c r="D541" s="39">
        <v>2.2999999999999998</v>
      </c>
      <c r="E541" s="39">
        <v>0.6</v>
      </c>
      <c r="F541" s="39">
        <v>1.7</v>
      </c>
      <c r="G541" s="39"/>
      <c r="H541" s="39"/>
      <c r="I541" s="39"/>
      <c r="J541" s="39">
        <v>1.7</v>
      </c>
      <c r="K541" s="50" t="s">
        <v>746</v>
      </c>
      <c r="L541" s="50" t="s">
        <v>102</v>
      </c>
      <c r="M541" s="99">
        <v>24.26</v>
      </c>
      <c r="N541" s="207">
        <v>444</v>
      </c>
      <c r="O541" s="99"/>
      <c r="P541" s="39"/>
      <c r="Q541" s="39"/>
      <c r="R541" s="39"/>
      <c r="S541" s="39"/>
      <c r="T541" s="39"/>
      <c r="U541" s="39"/>
      <c r="V541" s="39"/>
      <c r="W541" s="39"/>
      <c r="X541" s="39">
        <v>0.65</v>
      </c>
      <c r="Y541" s="39"/>
      <c r="Z541" s="39">
        <v>0.85</v>
      </c>
      <c r="AA541" s="39"/>
      <c r="AB541" s="39">
        <v>0.2</v>
      </c>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c r="BC541" s="39"/>
      <c r="BD541" s="39"/>
      <c r="BE541" s="39"/>
      <c r="BF541" s="39"/>
      <c r="BG541" s="39"/>
      <c r="BH541" s="39"/>
      <c r="BI541" s="39"/>
      <c r="BJ541" s="78">
        <f t="shared" si="62"/>
        <v>0</v>
      </c>
      <c r="BK541" s="39"/>
      <c r="BL541" s="99">
        <v>27</v>
      </c>
      <c r="BM541" s="79">
        <f t="shared" si="63"/>
        <v>0</v>
      </c>
      <c r="BN541" s="75"/>
      <c r="BO541" s="75"/>
    </row>
    <row r="542" spans="1:67" s="4" customFormat="1" ht="33.75" customHeight="1" x14ac:dyDescent="0.3">
      <c r="A542" s="48">
        <v>2</v>
      </c>
      <c r="B542" s="50" t="s">
        <v>869</v>
      </c>
      <c r="C542" s="39" t="s">
        <v>39</v>
      </c>
      <c r="D542" s="39">
        <v>0.45</v>
      </c>
      <c r="E542" s="39"/>
      <c r="F542" s="39">
        <v>0.45</v>
      </c>
      <c r="G542" s="39">
        <v>0.45</v>
      </c>
      <c r="H542" s="39"/>
      <c r="I542" s="39"/>
      <c r="J542" s="39">
        <v>0</v>
      </c>
      <c r="K542" s="50" t="s">
        <v>182</v>
      </c>
      <c r="L542" s="50" t="s">
        <v>179</v>
      </c>
      <c r="M542" s="99">
        <v>64</v>
      </c>
      <c r="N542" s="207">
        <v>445</v>
      </c>
      <c r="O542" s="9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78">
        <f t="shared" si="62"/>
        <v>0</v>
      </c>
      <c r="BK542" s="84"/>
      <c r="BL542" s="99">
        <v>27</v>
      </c>
      <c r="BM542" s="79">
        <f t="shared" si="63"/>
        <v>0</v>
      </c>
      <c r="BN542" s="75"/>
      <c r="BO542" s="75"/>
    </row>
    <row r="543" spans="1:67" s="4" customFormat="1" ht="25.5" customHeight="1" x14ac:dyDescent="0.3">
      <c r="A543" s="48">
        <v>3</v>
      </c>
      <c r="B543" s="50" t="s">
        <v>870</v>
      </c>
      <c r="C543" s="39" t="s">
        <v>39</v>
      </c>
      <c r="D543" s="41">
        <v>0.85</v>
      </c>
      <c r="E543" s="41"/>
      <c r="F543" s="41">
        <v>0.85</v>
      </c>
      <c r="G543" s="39">
        <v>0.5</v>
      </c>
      <c r="H543" s="39"/>
      <c r="I543" s="39"/>
      <c r="J543" s="39">
        <v>0.35</v>
      </c>
      <c r="K543" s="50" t="s">
        <v>207</v>
      </c>
      <c r="L543" s="50" t="s">
        <v>208</v>
      </c>
      <c r="M543" s="110">
        <v>11</v>
      </c>
      <c r="N543" s="211">
        <v>446</v>
      </c>
      <c r="O543" s="110"/>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c r="BC543" s="39"/>
      <c r="BD543" s="39"/>
      <c r="BE543" s="39">
        <v>0.35</v>
      </c>
      <c r="BF543" s="39"/>
      <c r="BG543" s="39"/>
      <c r="BH543" s="39"/>
      <c r="BI543" s="39"/>
      <c r="BJ543" s="78">
        <f t="shared" si="62"/>
        <v>0</v>
      </c>
      <c r="BK543" s="84"/>
      <c r="BL543" s="99">
        <v>27</v>
      </c>
      <c r="BM543" s="79">
        <f t="shared" si="63"/>
        <v>0</v>
      </c>
      <c r="BN543" s="75"/>
      <c r="BO543" s="75"/>
    </row>
    <row r="544" spans="1:67" s="4" customFormat="1" ht="31.2" x14ac:dyDescent="0.3">
      <c r="A544" s="48">
        <v>4</v>
      </c>
      <c r="B544" s="50" t="s">
        <v>871</v>
      </c>
      <c r="C544" s="39" t="s">
        <v>39</v>
      </c>
      <c r="D544" s="41">
        <v>0.55000000000000004</v>
      </c>
      <c r="E544" s="41"/>
      <c r="F544" s="41">
        <v>0.55000000000000004</v>
      </c>
      <c r="G544" s="39"/>
      <c r="H544" s="39"/>
      <c r="I544" s="39"/>
      <c r="J544" s="39">
        <v>0.55000000000000004</v>
      </c>
      <c r="K544" s="50" t="s">
        <v>215</v>
      </c>
      <c r="L544" s="50" t="s">
        <v>208</v>
      </c>
      <c r="M544" s="110">
        <v>50</v>
      </c>
      <c r="N544" s="211">
        <v>447</v>
      </c>
      <c r="O544" s="110"/>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v>0.55000000000000004</v>
      </c>
      <c r="AP544" s="39"/>
      <c r="AQ544" s="39"/>
      <c r="AR544" s="39"/>
      <c r="AS544" s="39"/>
      <c r="AT544" s="39"/>
      <c r="AU544" s="39"/>
      <c r="AV544" s="39"/>
      <c r="AW544" s="39"/>
      <c r="AX544" s="39"/>
      <c r="AY544" s="39"/>
      <c r="AZ544" s="39"/>
      <c r="BA544" s="39"/>
      <c r="BB544" s="39"/>
      <c r="BC544" s="39"/>
      <c r="BD544" s="39"/>
      <c r="BE544" s="39"/>
      <c r="BF544" s="39"/>
      <c r="BG544" s="39"/>
      <c r="BH544" s="39"/>
      <c r="BI544" s="39"/>
      <c r="BJ544" s="78">
        <f t="shared" si="62"/>
        <v>0</v>
      </c>
      <c r="BK544" s="84"/>
      <c r="BL544" s="99">
        <v>27</v>
      </c>
      <c r="BM544" s="79">
        <f t="shared" si="63"/>
        <v>0</v>
      </c>
      <c r="BN544" s="75"/>
      <c r="BO544" s="75"/>
    </row>
    <row r="545" spans="1:67" s="4" customFormat="1" ht="31.2" x14ac:dyDescent="0.3">
      <c r="A545" s="48">
        <v>5</v>
      </c>
      <c r="B545" s="42" t="s">
        <v>872</v>
      </c>
      <c r="C545" s="48" t="s">
        <v>39</v>
      </c>
      <c r="D545" s="39">
        <f>0.46+0.5+0.19</f>
        <v>1.1499999999999999</v>
      </c>
      <c r="E545" s="39"/>
      <c r="F545" s="39">
        <f>0.46+0.5+0.19</f>
        <v>1.1499999999999999</v>
      </c>
      <c r="G545" s="39">
        <v>1.08</v>
      </c>
      <c r="H545" s="39"/>
      <c r="I545" s="39"/>
      <c r="J545" s="39">
        <f>SUM(Z545:BG545)</f>
        <v>7.0000000000000007E-2</v>
      </c>
      <c r="K545" s="42" t="s">
        <v>305</v>
      </c>
      <c r="L545" s="42" t="s">
        <v>294</v>
      </c>
      <c r="M545" s="44">
        <v>35</v>
      </c>
      <c r="N545" s="209">
        <v>448</v>
      </c>
      <c r="O545" s="44"/>
      <c r="P545" s="84"/>
      <c r="Q545" s="84"/>
      <c r="R545" s="84"/>
      <c r="S545" s="84"/>
      <c r="T545" s="84"/>
      <c r="U545" s="84"/>
      <c r="V545" s="84"/>
      <c r="W545" s="84"/>
      <c r="X545" s="84"/>
      <c r="Y545" s="84"/>
      <c r="Z545" s="48"/>
      <c r="AA545" s="48"/>
      <c r="AB545" s="48">
        <v>7.0000000000000007E-2</v>
      </c>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78">
        <f t="shared" si="62"/>
        <v>0</v>
      </c>
      <c r="BK545" s="48"/>
      <c r="BL545" s="99">
        <v>27</v>
      </c>
      <c r="BM545" s="79">
        <f t="shared" si="63"/>
        <v>0</v>
      </c>
      <c r="BN545" s="75"/>
      <c r="BO545" s="75"/>
    </row>
    <row r="546" spans="1:67" s="4" customFormat="1" ht="33" customHeight="1" x14ac:dyDescent="0.3">
      <c r="A546" s="48">
        <v>6</v>
      </c>
      <c r="B546" s="42" t="s">
        <v>876</v>
      </c>
      <c r="C546" s="48" t="s">
        <v>39</v>
      </c>
      <c r="D546" s="41">
        <v>0.5</v>
      </c>
      <c r="E546" s="41"/>
      <c r="F546" s="41">
        <v>0.5</v>
      </c>
      <c r="G546" s="41"/>
      <c r="H546" s="39"/>
      <c r="I546" s="39"/>
      <c r="J546" s="39">
        <f>SUM(Z546:BG546)</f>
        <v>0.5</v>
      </c>
      <c r="K546" s="42" t="s">
        <v>390</v>
      </c>
      <c r="L546" s="42" t="s">
        <v>377</v>
      </c>
      <c r="M546" s="43">
        <v>32</v>
      </c>
      <c r="N546" s="210">
        <v>449</v>
      </c>
      <c r="O546" s="43"/>
      <c r="P546" s="111"/>
      <c r="Q546" s="84"/>
      <c r="R546" s="84"/>
      <c r="S546" s="84"/>
      <c r="T546" s="84"/>
      <c r="U546" s="84"/>
      <c r="V546" s="84"/>
      <c r="W546" s="84"/>
      <c r="X546" s="84"/>
      <c r="Y546" s="84"/>
      <c r="Z546" s="84">
        <v>0.5</v>
      </c>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c r="BJ546" s="78">
        <f t="shared" si="62"/>
        <v>0</v>
      </c>
      <c r="BK546" s="84"/>
      <c r="BL546" s="99">
        <v>27</v>
      </c>
      <c r="BM546" s="79">
        <f t="shared" si="63"/>
        <v>0</v>
      </c>
      <c r="BN546" s="75"/>
      <c r="BO546" s="75"/>
    </row>
    <row r="547" spans="1:67" s="4" customFormat="1" x14ac:dyDescent="0.3">
      <c r="A547" s="48">
        <v>7</v>
      </c>
      <c r="B547" s="42" t="s">
        <v>873</v>
      </c>
      <c r="C547" s="43" t="s">
        <v>39</v>
      </c>
      <c r="D547" s="41">
        <v>1.1399999999999999</v>
      </c>
      <c r="E547" s="41"/>
      <c r="F547" s="41">
        <v>1.1399999999999999</v>
      </c>
      <c r="G547" s="41"/>
      <c r="H547" s="41"/>
      <c r="I547" s="41"/>
      <c r="J547" s="41">
        <v>1.1399999999999999</v>
      </c>
      <c r="K547" s="42" t="s">
        <v>688</v>
      </c>
      <c r="L547" s="42" t="s">
        <v>688</v>
      </c>
      <c r="M547" s="43">
        <v>28</v>
      </c>
      <c r="N547" s="210">
        <v>450</v>
      </c>
      <c r="O547" s="43"/>
      <c r="P547" s="97"/>
      <c r="Q547" s="97"/>
      <c r="R547" s="97"/>
      <c r="S547" s="97"/>
      <c r="T547" s="97"/>
      <c r="U547" s="97"/>
      <c r="V547" s="97"/>
      <c r="W547" s="97"/>
      <c r="X547" s="97"/>
      <c r="Y547" s="97"/>
      <c r="Z547" s="97">
        <v>1.1399999999999999</v>
      </c>
      <c r="AA547" s="97"/>
      <c r="AB547" s="97"/>
      <c r="AC547" s="97"/>
      <c r="AD547" s="97"/>
      <c r="AE547" s="97"/>
      <c r="AF547" s="97"/>
      <c r="AG547" s="100"/>
      <c r="AH547" s="97"/>
      <c r="AI547" s="97"/>
      <c r="AJ547" s="97"/>
      <c r="AK547" s="97"/>
      <c r="AL547" s="97"/>
      <c r="AM547" s="97"/>
      <c r="AN547" s="97"/>
      <c r="AO547" s="97"/>
      <c r="AP547" s="97"/>
      <c r="AQ547" s="97"/>
      <c r="AR547" s="97"/>
      <c r="AS547" s="97"/>
      <c r="AT547" s="97"/>
      <c r="AU547" s="97"/>
      <c r="AV547" s="97"/>
      <c r="AW547" s="97"/>
      <c r="AX547" s="97"/>
      <c r="AY547" s="97"/>
      <c r="AZ547" s="97"/>
      <c r="BA547" s="97"/>
      <c r="BB547" s="97"/>
      <c r="BC547" s="97"/>
      <c r="BD547" s="97"/>
      <c r="BE547" s="97"/>
      <c r="BF547" s="97"/>
      <c r="BG547" s="97"/>
      <c r="BH547" s="97"/>
      <c r="BI547" s="97"/>
      <c r="BJ547" s="78">
        <f t="shared" si="62"/>
        <v>0</v>
      </c>
      <c r="BK547" s="97"/>
      <c r="BL547" s="97">
        <v>27</v>
      </c>
      <c r="BM547" s="79">
        <f t="shared" si="63"/>
        <v>0</v>
      </c>
      <c r="BN547" s="75"/>
      <c r="BO547" s="75"/>
    </row>
    <row r="548" spans="1:67" s="4" customFormat="1" ht="31.2" x14ac:dyDescent="0.3">
      <c r="A548" s="48">
        <v>8</v>
      </c>
      <c r="B548" s="42" t="s">
        <v>874</v>
      </c>
      <c r="C548" s="43" t="s">
        <v>39</v>
      </c>
      <c r="D548" s="41">
        <v>0.11</v>
      </c>
      <c r="E548" s="41"/>
      <c r="F548" s="41">
        <v>0.11</v>
      </c>
      <c r="G548" s="41">
        <v>0.11</v>
      </c>
      <c r="H548" s="41"/>
      <c r="I548" s="41"/>
      <c r="J548" s="41"/>
      <c r="K548" s="42" t="s">
        <v>997</v>
      </c>
      <c r="L548" s="42" t="s">
        <v>688</v>
      </c>
      <c r="M548" s="43">
        <v>36</v>
      </c>
      <c r="N548" s="210">
        <v>451</v>
      </c>
      <c r="O548" s="43"/>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c r="BG548" s="97"/>
      <c r="BH548" s="97"/>
      <c r="BI548" s="97"/>
      <c r="BJ548" s="78">
        <f t="shared" si="62"/>
        <v>0</v>
      </c>
      <c r="BK548" s="97"/>
      <c r="BL548" s="97">
        <v>27</v>
      </c>
      <c r="BM548" s="79">
        <f t="shared" si="63"/>
        <v>0</v>
      </c>
      <c r="BN548" s="75"/>
      <c r="BO548" s="75"/>
    </row>
    <row r="549" spans="1:67" x14ac:dyDescent="0.3">
      <c r="A549" s="76" t="s">
        <v>633</v>
      </c>
      <c r="B549" s="77" t="s">
        <v>634</v>
      </c>
      <c r="C549" s="76" t="s">
        <v>44</v>
      </c>
      <c r="D549" s="85">
        <f>SUM(D550,D572:D577)</f>
        <v>5.57</v>
      </c>
      <c r="E549" s="85">
        <f t="shared" ref="E549:BK549" si="66">SUM(E550,E572:E577)</f>
        <v>0</v>
      </c>
      <c r="F549" s="85">
        <f t="shared" si="66"/>
        <v>5.57</v>
      </c>
      <c r="G549" s="85">
        <f t="shared" si="66"/>
        <v>4.34</v>
      </c>
      <c r="H549" s="85">
        <f t="shared" si="66"/>
        <v>0</v>
      </c>
      <c r="I549" s="85">
        <f t="shared" si="66"/>
        <v>0</v>
      </c>
      <c r="J549" s="85">
        <f t="shared" si="66"/>
        <v>1.23</v>
      </c>
      <c r="K549" s="85">
        <f t="shared" si="66"/>
        <v>0</v>
      </c>
      <c r="L549" s="85">
        <f t="shared" si="66"/>
        <v>0</v>
      </c>
      <c r="M549" s="85"/>
      <c r="N549" s="85"/>
      <c r="O549" s="85">
        <f t="shared" si="66"/>
        <v>0</v>
      </c>
      <c r="P549" s="85">
        <f t="shared" si="66"/>
        <v>0</v>
      </c>
      <c r="Q549" s="85">
        <f t="shared" si="66"/>
        <v>0</v>
      </c>
      <c r="R549" s="85">
        <f t="shared" si="66"/>
        <v>0</v>
      </c>
      <c r="S549" s="85">
        <f t="shared" si="66"/>
        <v>0</v>
      </c>
      <c r="T549" s="85">
        <f t="shared" si="66"/>
        <v>0</v>
      </c>
      <c r="U549" s="85">
        <f t="shared" si="66"/>
        <v>0</v>
      </c>
      <c r="V549" s="85">
        <f t="shared" si="66"/>
        <v>0</v>
      </c>
      <c r="W549" s="85">
        <f t="shared" si="66"/>
        <v>0</v>
      </c>
      <c r="X549" s="85">
        <f t="shared" si="66"/>
        <v>0</v>
      </c>
      <c r="Y549" s="85">
        <f t="shared" si="66"/>
        <v>0</v>
      </c>
      <c r="Z549" s="85">
        <f t="shared" si="66"/>
        <v>0.4</v>
      </c>
      <c r="AA549" s="85">
        <f t="shared" si="66"/>
        <v>0</v>
      </c>
      <c r="AB549" s="85">
        <f t="shared" si="66"/>
        <v>0</v>
      </c>
      <c r="AC549" s="85">
        <f t="shared" si="66"/>
        <v>0</v>
      </c>
      <c r="AD549" s="85">
        <f t="shared" si="66"/>
        <v>0</v>
      </c>
      <c r="AE549" s="85">
        <f t="shared" si="66"/>
        <v>0</v>
      </c>
      <c r="AF549" s="85">
        <f t="shared" si="66"/>
        <v>0</v>
      </c>
      <c r="AG549" s="85">
        <f t="shared" si="66"/>
        <v>0</v>
      </c>
      <c r="AH549" s="85">
        <f t="shared" si="66"/>
        <v>0</v>
      </c>
      <c r="AI549" s="85">
        <f t="shared" si="66"/>
        <v>0</v>
      </c>
      <c r="AJ549" s="85">
        <f t="shared" si="66"/>
        <v>0</v>
      </c>
      <c r="AK549" s="85">
        <f t="shared" si="66"/>
        <v>0</v>
      </c>
      <c r="AL549" s="85">
        <f t="shared" si="66"/>
        <v>0</v>
      </c>
      <c r="AM549" s="85">
        <f t="shared" si="66"/>
        <v>0</v>
      </c>
      <c r="AN549" s="85">
        <f t="shared" si="66"/>
        <v>0</v>
      </c>
      <c r="AO549" s="85">
        <f t="shared" si="66"/>
        <v>0</v>
      </c>
      <c r="AP549" s="85">
        <f t="shared" si="66"/>
        <v>0</v>
      </c>
      <c r="AQ549" s="85">
        <f t="shared" si="66"/>
        <v>0</v>
      </c>
      <c r="AR549" s="85">
        <f t="shared" si="66"/>
        <v>0</v>
      </c>
      <c r="AS549" s="85">
        <f t="shared" si="66"/>
        <v>0</v>
      </c>
      <c r="AT549" s="85">
        <f t="shared" si="66"/>
        <v>0</v>
      </c>
      <c r="AU549" s="85">
        <f t="shared" si="66"/>
        <v>0</v>
      </c>
      <c r="AV549" s="85">
        <f t="shared" si="66"/>
        <v>0</v>
      </c>
      <c r="AW549" s="85">
        <f t="shared" si="66"/>
        <v>0</v>
      </c>
      <c r="AX549" s="85">
        <f t="shared" si="66"/>
        <v>0</v>
      </c>
      <c r="AY549" s="85">
        <f t="shared" si="66"/>
        <v>0</v>
      </c>
      <c r="AZ549" s="85">
        <f t="shared" si="66"/>
        <v>0</v>
      </c>
      <c r="BA549" s="85">
        <f t="shared" si="66"/>
        <v>0</v>
      </c>
      <c r="BB549" s="85">
        <f t="shared" si="66"/>
        <v>0</v>
      </c>
      <c r="BC549" s="85">
        <f t="shared" si="66"/>
        <v>0</v>
      </c>
      <c r="BD549" s="85">
        <f t="shared" si="66"/>
        <v>0</v>
      </c>
      <c r="BE549" s="85">
        <f t="shared" si="66"/>
        <v>0.83000000000000007</v>
      </c>
      <c r="BF549" s="85">
        <f t="shared" si="66"/>
        <v>0</v>
      </c>
      <c r="BG549" s="85">
        <f t="shared" si="66"/>
        <v>0</v>
      </c>
      <c r="BH549" s="85">
        <f t="shared" si="66"/>
        <v>0</v>
      </c>
      <c r="BI549" s="85">
        <f t="shared" si="66"/>
        <v>0</v>
      </c>
      <c r="BJ549" s="85">
        <f t="shared" si="66"/>
        <v>0</v>
      </c>
      <c r="BK549" s="85">
        <f t="shared" si="66"/>
        <v>0</v>
      </c>
      <c r="BL549" s="99">
        <v>28</v>
      </c>
      <c r="BM549" s="79">
        <f t="shared" si="63"/>
        <v>0</v>
      </c>
      <c r="BN549" s="75"/>
      <c r="BO549" s="75"/>
    </row>
    <row r="550" spans="1:67" ht="31.2" x14ac:dyDescent="0.3">
      <c r="A550" s="219">
        <v>1</v>
      </c>
      <c r="B550" s="42" t="s">
        <v>499</v>
      </c>
      <c r="C550" s="48" t="s">
        <v>44</v>
      </c>
      <c r="D550" s="48">
        <v>0.84</v>
      </c>
      <c r="E550" s="48"/>
      <c r="F550" s="48">
        <v>0.84</v>
      </c>
      <c r="G550" s="48">
        <v>0.57999999999999996</v>
      </c>
      <c r="H550" s="48"/>
      <c r="I550" s="48"/>
      <c r="J550" s="48">
        <v>0.26</v>
      </c>
      <c r="K550" s="42" t="s">
        <v>685</v>
      </c>
      <c r="L550" s="111" t="s">
        <v>677</v>
      </c>
      <c r="M550" s="44">
        <v>28</v>
      </c>
      <c r="N550" s="209">
        <v>452</v>
      </c>
      <c r="O550" s="44"/>
      <c r="P550" s="84">
        <f>SUM(P551:P571)</f>
        <v>0</v>
      </c>
      <c r="Q550" s="84">
        <f t="shared" ref="Q550:BK550" si="67">SUM(Q551:Q571)</f>
        <v>0</v>
      </c>
      <c r="R550" s="84">
        <f t="shared" si="67"/>
        <v>0</v>
      </c>
      <c r="S550" s="84">
        <f t="shared" si="67"/>
        <v>0</v>
      </c>
      <c r="T550" s="84">
        <f t="shared" si="67"/>
        <v>0</v>
      </c>
      <c r="U550" s="84">
        <f t="shared" si="67"/>
        <v>0</v>
      </c>
      <c r="V550" s="84">
        <f t="shared" si="67"/>
        <v>0</v>
      </c>
      <c r="W550" s="84">
        <f t="shared" si="67"/>
        <v>0</v>
      </c>
      <c r="X550" s="84">
        <f t="shared" si="67"/>
        <v>0</v>
      </c>
      <c r="Y550" s="84">
        <f t="shared" si="67"/>
        <v>0</v>
      </c>
      <c r="Z550" s="84">
        <f t="shared" si="67"/>
        <v>0.23</v>
      </c>
      <c r="AA550" s="84">
        <f t="shared" si="67"/>
        <v>0</v>
      </c>
      <c r="AB550" s="84">
        <f t="shared" si="67"/>
        <v>0</v>
      </c>
      <c r="AC550" s="84">
        <f t="shared" si="67"/>
        <v>0</v>
      </c>
      <c r="AD550" s="84">
        <f t="shared" si="67"/>
        <v>0</v>
      </c>
      <c r="AE550" s="84">
        <f t="shared" si="67"/>
        <v>0</v>
      </c>
      <c r="AF550" s="84">
        <f t="shared" si="67"/>
        <v>0</v>
      </c>
      <c r="AG550" s="84">
        <f t="shared" si="67"/>
        <v>0</v>
      </c>
      <c r="AH550" s="84">
        <f t="shared" si="67"/>
        <v>0</v>
      </c>
      <c r="AI550" s="84">
        <f t="shared" si="67"/>
        <v>0</v>
      </c>
      <c r="AJ550" s="84">
        <f t="shared" si="67"/>
        <v>0</v>
      </c>
      <c r="AK550" s="84">
        <f t="shared" si="67"/>
        <v>0</v>
      </c>
      <c r="AL550" s="84">
        <f t="shared" si="67"/>
        <v>0</v>
      </c>
      <c r="AM550" s="84">
        <f t="shared" si="67"/>
        <v>0</v>
      </c>
      <c r="AN550" s="84">
        <f t="shared" si="67"/>
        <v>0</v>
      </c>
      <c r="AO550" s="84">
        <f t="shared" si="67"/>
        <v>0</v>
      </c>
      <c r="AP550" s="84">
        <f t="shared" si="67"/>
        <v>0</v>
      </c>
      <c r="AQ550" s="84">
        <f t="shared" si="67"/>
        <v>0</v>
      </c>
      <c r="AR550" s="84">
        <f t="shared" si="67"/>
        <v>0</v>
      </c>
      <c r="AS550" s="84">
        <f t="shared" si="67"/>
        <v>0</v>
      </c>
      <c r="AT550" s="84">
        <f t="shared" si="67"/>
        <v>0</v>
      </c>
      <c r="AU550" s="84">
        <f t="shared" si="67"/>
        <v>0</v>
      </c>
      <c r="AV550" s="84">
        <f t="shared" si="67"/>
        <v>0</v>
      </c>
      <c r="AW550" s="84">
        <f t="shared" si="67"/>
        <v>0</v>
      </c>
      <c r="AX550" s="84">
        <f t="shared" si="67"/>
        <v>0</v>
      </c>
      <c r="AY550" s="84">
        <f t="shared" si="67"/>
        <v>0</v>
      </c>
      <c r="AZ550" s="84">
        <f t="shared" si="67"/>
        <v>0</v>
      </c>
      <c r="BA550" s="84">
        <f t="shared" si="67"/>
        <v>0</v>
      </c>
      <c r="BB550" s="84">
        <f t="shared" si="67"/>
        <v>0</v>
      </c>
      <c r="BC550" s="84">
        <f t="shared" si="67"/>
        <v>0</v>
      </c>
      <c r="BD550" s="84">
        <f t="shared" si="67"/>
        <v>0</v>
      </c>
      <c r="BE550" s="84">
        <f t="shared" si="67"/>
        <v>0.03</v>
      </c>
      <c r="BF550" s="84">
        <f t="shared" si="67"/>
        <v>0</v>
      </c>
      <c r="BG550" s="84">
        <f t="shared" si="67"/>
        <v>0</v>
      </c>
      <c r="BH550" s="84">
        <f t="shared" si="67"/>
        <v>0</v>
      </c>
      <c r="BI550" s="84">
        <f t="shared" si="67"/>
        <v>0</v>
      </c>
      <c r="BJ550" s="84">
        <f t="shared" si="67"/>
        <v>0</v>
      </c>
      <c r="BK550" s="84">
        <f t="shared" si="67"/>
        <v>0</v>
      </c>
      <c r="BL550" s="99">
        <v>28</v>
      </c>
      <c r="BM550" s="79">
        <f>J550-SUM(V550:BH550)</f>
        <v>0</v>
      </c>
      <c r="BN550" s="75"/>
      <c r="BO550" s="75"/>
    </row>
    <row r="551" spans="1:67" s="4" customFormat="1" ht="31.2" x14ac:dyDescent="0.3">
      <c r="A551" s="220"/>
      <c r="B551" s="42" t="s">
        <v>1205</v>
      </c>
      <c r="C551" s="48" t="s">
        <v>44</v>
      </c>
      <c r="D551" s="48">
        <v>0.03</v>
      </c>
      <c r="E551" s="48"/>
      <c r="F551" s="48">
        <v>0.03</v>
      </c>
      <c r="G551" s="48">
        <v>0.03</v>
      </c>
      <c r="H551" s="48"/>
      <c r="I551" s="48"/>
      <c r="J551" s="48">
        <f>SUM(P551:BG551)</f>
        <v>0</v>
      </c>
      <c r="K551" s="175" t="s">
        <v>1203</v>
      </c>
      <c r="L551" s="139" t="s">
        <v>102</v>
      </c>
      <c r="M551" s="143" t="s">
        <v>1204</v>
      </c>
      <c r="N551" s="44"/>
      <c r="O551" s="4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c r="BJ551" s="78"/>
      <c r="BK551" s="84"/>
      <c r="BL551" s="99"/>
      <c r="BM551" s="79">
        <f t="shared" si="63"/>
        <v>0</v>
      </c>
      <c r="BN551" s="75"/>
      <c r="BO551" s="75"/>
    </row>
    <row r="552" spans="1:67" s="4" customFormat="1" ht="31.2" x14ac:dyDescent="0.3">
      <c r="A552" s="220"/>
      <c r="B552" s="42" t="s">
        <v>1206</v>
      </c>
      <c r="C552" s="48" t="s">
        <v>44</v>
      </c>
      <c r="D552" s="48">
        <v>0.02</v>
      </c>
      <c r="E552" s="48"/>
      <c r="F552" s="48">
        <v>0.02</v>
      </c>
      <c r="G552" s="48">
        <v>0.02</v>
      </c>
      <c r="H552" s="48"/>
      <c r="I552" s="48"/>
      <c r="J552" s="48"/>
      <c r="K552" s="54" t="s">
        <v>234</v>
      </c>
      <c r="L552" s="176" t="s">
        <v>233</v>
      </c>
      <c r="M552" s="127">
        <v>26</v>
      </c>
      <c r="N552" s="44"/>
      <c r="O552" s="4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c r="BJ552" s="78"/>
      <c r="BK552" s="84"/>
      <c r="BL552" s="99"/>
      <c r="BM552" s="79">
        <f t="shared" si="63"/>
        <v>0</v>
      </c>
      <c r="BN552" s="75"/>
      <c r="BO552" s="75"/>
    </row>
    <row r="553" spans="1:67" s="4" customFormat="1" ht="62.4" x14ac:dyDescent="0.3">
      <c r="A553" s="220"/>
      <c r="B553" s="42" t="s">
        <v>1208</v>
      </c>
      <c r="C553" s="48" t="s">
        <v>44</v>
      </c>
      <c r="D553" s="48">
        <v>0.02</v>
      </c>
      <c r="E553" s="48"/>
      <c r="F553" s="48">
        <v>0.02</v>
      </c>
      <c r="G553" s="48">
        <v>0.01</v>
      </c>
      <c r="H553" s="48"/>
      <c r="I553" s="48"/>
      <c r="J553" s="48">
        <v>0.01</v>
      </c>
      <c r="K553" s="53" t="s">
        <v>1207</v>
      </c>
      <c r="L553" s="176" t="s">
        <v>247</v>
      </c>
      <c r="M553" s="133"/>
      <c r="N553" s="133"/>
      <c r="O553" s="133"/>
      <c r="P553" s="93"/>
      <c r="Q553" s="93"/>
      <c r="R553" s="93"/>
      <c r="S553" s="93"/>
      <c r="T553" s="93"/>
      <c r="U553" s="93"/>
      <c r="V553" s="93"/>
      <c r="W553" s="93"/>
      <c r="X553" s="93"/>
      <c r="Y553" s="93"/>
      <c r="Z553" s="93">
        <v>0.01</v>
      </c>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c r="BJ553" s="78"/>
      <c r="BK553" s="84"/>
      <c r="BL553" s="99"/>
      <c r="BM553" s="79">
        <f t="shared" si="63"/>
        <v>0</v>
      </c>
      <c r="BN553" s="75"/>
      <c r="BO553" s="75"/>
    </row>
    <row r="554" spans="1:67" s="4" customFormat="1" ht="31.2" x14ac:dyDescent="0.3">
      <c r="A554" s="220"/>
      <c r="B554" s="42" t="s">
        <v>1209</v>
      </c>
      <c r="C554" s="48" t="s">
        <v>44</v>
      </c>
      <c r="D554" s="48">
        <v>0.01</v>
      </c>
      <c r="E554" s="48"/>
      <c r="F554" s="48">
        <v>0.01</v>
      </c>
      <c r="G554" s="48">
        <v>0.01</v>
      </c>
      <c r="H554" s="48"/>
      <c r="I554" s="48"/>
      <c r="J554" s="48">
        <f>SUM(V554:BG554)</f>
        <v>0</v>
      </c>
      <c r="K554" s="129" t="s">
        <v>58</v>
      </c>
      <c r="L554" s="176" t="s">
        <v>58</v>
      </c>
      <c r="M554" s="127">
        <v>28</v>
      </c>
      <c r="N554" s="44"/>
      <c r="O554" s="4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c r="BJ554" s="78"/>
      <c r="BK554" s="84"/>
      <c r="BL554" s="99"/>
      <c r="BM554" s="79">
        <f t="shared" si="63"/>
        <v>0</v>
      </c>
      <c r="BN554" s="75"/>
      <c r="BO554" s="75"/>
    </row>
    <row r="555" spans="1:67" s="4" customFormat="1" ht="46.8" x14ac:dyDescent="0.3">
      <c r="A555" s="220"/>
      <c r="B555" s="42" t="s">
        <v>1211</v>
      </c>
      <c r="C555" s="48" t="s">
        <v>44</v>
      </c>
      <c r="D555" s="48">
        <v>0.09</v>
      </c>
      <c r="E555" s="48"/>
      <c r="F555" s="48">
        <v>0.09</v>
      </c>
      <c r="G555" s="48">
        <v>0.09</v>
      </c>
      <c r="H555" s="48"/>
      <c r="I555" s="48"/>
      <c r="J555" s="48">
        <f>SUM(Z555:BG555)</f>
        <v>0</v>
      </c>
      <c r="K555" s="168" t="s">
        <v>1210</v>
      </c>
      <c r="L555" s="176" t="s">
        <v>294</v>
      </c>
      <c r="M555" s="127">
        <v>46</v>
      </c>
      <c r="N555" s="44"/>
      <c r="O555" s="4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c r="BJ555" s="78"/>
      <c r="BK555" s="84"/>
      <c r="BL555" s="99"/>
      <c r="BM555" s="79">
        <f t="shared" si="63"/>
        <v>0</v>
      </c>
      <c r="BN555" s="75"/>
      <c r="BO555" s="75"/>
    </row>
    <row r="556" spans="1:67" s="4" customFormat="1" ht="31.2" x14ac:dyDescent="0.3">
      <c r="A556" s="220"/>
      <c r="B556" s="42" t="s">
        <v>1212</v>
      </c>
      <c r="C556" s="48" t="s">
        <v>44</v>
      </c>
      <c r="D556" s="48">
        <v>0.04</v>
      </c>
      <c r="E556" s="48"/>
      <c r="F556" s="48">
        <v>0.04</v>
      </c>
      <c r="G556" s="48">
        <v>0.04</v>
      </c>
      <c r="H556" s="48"/>
      <c r="I556" s="48"/>
      <c r="J556" s="48"/>
      <c r="K556" s="54" t="s">
        <v>71</v>
      </c>
      <c r="L556" s="177" t="s">
        <v>67</v>
      </c>
      <c r="M556" s="53">
        <v>44</v>
      </c>
      <c r="N556" s="44"/>
      <c r="O556" s="4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c r="BJ556" s="78"/>
      <c r="BK556" s="84"/>
      <c r="BL556" s="99"/>
      <c r="BM556" s="79"/>
      <c r="BN556" s="75"/>
      <c r="BO556" s="75"/>
    </row>
    <row r="557" spans="1:67" s="4" customFormat="1" ht="62.4" x14ac:dyDescent="0.3">
      <c r="A557" s="220"/>
      <c r="B557" s="42" t="s">
        <v>1214</v>
      </c>
      <c r="C557" s="48" t="s">
        <v>44</v>
      </c>
      <c r="D557" s="48">
        <v>0.02</v>
      </c>
      <c r="E557" s="48"/>
      <c r="F557" s="48">
        <f>D557</f>
        <v>0.02</v>
      </c>
      <c r="G557" s="48">
        <v>0.02</v>
      </c>
      <c r="H557" s="48"/>
      <c r="I557" s="48"/>
      <c r="J557" s="48"/>
      <c r="K557" s="53" t="s">
        <v>1213</v>
      </c>
      <c r="L557" s="176" t="s">
        <v>81</v>
      </c>
      <c r="M557" s="133">
        <v>56</v>
      </c>
      <c r="N557" s="44"/>
      <c r="O557" s="4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c r="BJ557" s="78"/>
      <c r="BK557" s="84"/>
      <c r="BL557" s="99"/>
      <c r="BM557" s="79"/>
      <c r="BN557" s="75"/>
      <c r="BO557" s="75"/>
    </row>
    <row r="558" spans="1:67" s="4" customFormat="1" ht="62.4" x14ac:dyDescent="0.3">
      <c r="A558" s="220"/>
      <c r="B558" s="42" t="s">
        <v>1216</v>
      </c>
      <c r="C558" s="48" t="s">
        <v>44</v>
      </c>
      <c r="D558" s="48">
        <v>0.02</v>
      </c>
      <c r="E558" s="48"/>
      <c r="F558" s="48">
        <v>0.02</v>
      </c>
      <c r="G558" s="48">
        <v>0.02</v>
      </c>
      <c r="H558" s="48"/>
      <c r="I558" s="48"/>
      <c r="J558" s="48"/>
      <c r="K558" s="54" t="s">
        <v>1215</v>
      </c>
      <c r="L558" s="176" t="s">
        <v>261</v>
      </c>
      <c r="M558" s="133">
        <v>3</v>
      </c>
      <c r="N558" s="44"/>
      <c r="O558" s="4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c r="BJ558" s="78"/>
      <c r="BK558" s="84"/>
      <c r="BL558" s="99"/>
      <c r="BM558" s="79"/>
      <c r="BN558" s="75"/>
      <c r="BO558" s="75"/>
    </row>
    <row r="559" spans="1:67" s="4" customFormat="1" ht="31.2" x14ac:dyDescent="0.3">
      <c r="A559" s="220"/>
      <c r="B559" s="42" t="s">
        <v>1217</v>
      </c>
      <c r="C559" s="48" t="s">
        <v>44</v>
      </c>
      <c r="D559" s="48">
        <v>0.15</v>
      </c>
      <c r="E559" s="48"/>
      <c r="F559" s="48">
        <v>0.15</v>
      </c>
      <c r="G559" s="48"/>
      <c r="H559" s="48">
        <f>SUM(P559:R559)</f>
        <v>0</v>
      </c>
      <c r="I559" s="48"/>
      <c r="J559" s="48">
        <f>SUM(V559:BG559)</f>
        <v>0.15</v>
      </c>
      <c r="K559" s="175"/>
      <c r="L559" s="178" t="s">
        <v>125</v>
      </c>
      <c r="M559" s="143">
        <v>52</v>
      </c>
      <c r="N559" s="143"/>
      <c r="O559" s="143"/>
      <c r="P559" s="179"/>
      <c r="Q559" s="179"/>
      <c r="R559" s="179"/>
      <c r="S559" s="179"/>
      <c r="T559" s="179"/>
      <c r="U559" s="179"/>
      <c r="V559" s="179"/>
      <c r="W559" s="179"/>
      <c r="X559" s="179"/>
      <c r="Y559" s="179"/>
      <c r="Z559" s="179">
        <v>0.15</v>
      </c>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c r="BJ559" s="78"/>
      <c r="BK559" s="84"/>
      <c r="BL559" s="99"/>
      <c r="BM559" s="79"/>
      <c r="BN559" s="75"/>
      <c r="BO559" s="75"/>
    </row>
    <row r="560" spans="1:67" s="4" customFormat="1" ht="31.2" x14ac:dyDescent="0.3">
      <c r="A560" s="220"/>
      <c r="B560" s="42" t="s">
        <v>1220</v>
      </c>
      <c r="C560" s="48" t="s">
        <v>44</v>
      </c>
      <c r="D560" s="48">
        <v>0.18</v>
      </c>
      <c r="E560" s="48"/>
      <c r="F560" s="48">
        <v>0.18</v>
      </c>
      <c r="G560" s="48">
        <v>0.15</v>
      </c>
      <c r="H560" s="48"/>
      <c r="I560" s="48"/>
      <c r="J560" s="48">
        <v>0.03</v>
      </c>
      <c r="K560" s="142" t="s">
        <v>1218</v>
      </c>
      <c r="L560" s="139" t="s">
        <v>154</v>
      </c>
      <c r="M560" s="143" t="s">
        <v>1219</v>
      </c>
      <c r="N560" s="143"/>
      <c r="O560" s="143"/>
      <c r="P560" s="180"/>
      <c r="Q560" s="180"/>
      <c r="R560" s="180"/>
      <c r="S560" s="180"/>
      <c r="T560" s="180"/>
      <c r="U560" s="180"/>
      <c r="V560" s="180"/>
      <c r="W560" s="180"/>
      <c r="X560" s="180"/>
      <c r="Y560" s="180"/>
      <c r="Z560" s="180">
        <v>0.03</v>
      </c>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c r="BJ560" s="78"/>
      <c r="BK560" s="84"/>
      <c r="BL560" s="99"/>
      <c r="BM560" s="79"/>
      <c r="BN560" s="75"/>
      <c r="BO560" s="75"/>
    </row>
    <row r="561" spans="1:67" s="4" customFormat="1" ht="31.2" x14ac:dyDescent="0.3">
      <c r="A561" s="220"/>
      <c r="B561" s="42" t="s">
        <v>1222</v>
      </c>
      <c r="C561" s="48" t="s">
        <v>44</v>
      </c>
      <c r="D561" s="48">
        <v>0.02</v>
      </c>
      <c r="E561" s="48"/>
      <c r="F561" s="48">
        <v>0.02</v>
      </c>
      <c r="G561" s="48">
        <v>0.01</v>
      </c>
      <c r="H561" s="48"/>
      <c r="I561" s="48"/>
      <c r="J561" s="48">
        <v>0.01</v>
      </c>
      <c r="K561" s="53" t="s">
        <v>1221</v>
      </c>
      <c r="L561" s="176" t="s">
        <v>688</v>
      </c>
      <c r="M561" s="53"/>
      <c r="N561" s="53"/>
      <c r="O561" s="53"/>
      <c r="P561" s="181"/>
      <c r="Q561" s="181"/>
      <c r="R561" s="181"/>
      <c r="S561" s="181"/>
      <c r="T561" s="181"/>
      <c r="U561" s="181"/>
      <c r="V561" s="181"/>
      <c r="W561" s="181"/>
      <c r="X561" s="181"/>
      <c r="Y561" s="181"/>
      <c r="Z561" s="181">
        <v>0.01</v>
      </c>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c r="BJ561" s="78"/>
      <c r="BK561" s="84"/>
      <c r="BL561" s="99"/>
      <c r="BM561" s="79"/>
      <c r="BN561" s="75"/>
      <c r="BO561" s="75"/>
    </row>
    <row r="562" spans="1:67" s="4" customFormat="1" ht="46.8" x14ac:dyDescent="0.3">
      <c r="A562" s="220"/>
      <c r="B562" s="42" t="s">
        <v>1224</v>
      </c>
      <c r="C562" s="48" t="s">
        <v>44</v>
      </c>
      <c r="D562" s="48">
        <v>0.02</v>
      </c>
      <c r="E562" s="48"/>
      <c r="F562" s="48">
        <v>0.02</v>
      </c>
      <c r="G562" s="48">
        <v>0.01</v>
      </c>
      <c r="H562" s="48"/>
      <c r="I562" s="48"/>
      <c r="J562" s="48">
        <f>SUM(V562:BG562)</f>
        <v>0.01</v>
      </c>
      <c r="K562" s="42" t="s">
        <v>1223</v>
      </c>
      <c r="L562" s="176" t="s">
        <v>364</v>
      </c>
      <c r="M562" s="43">
        <v>16</v>
      </c>
      <c r="N562" s="43"/>
      <c r="O562" s="43"/>
      <c r="P562" s="180"/>
      <c r="Q562" s="180"/>
      <c r="R562" s="180"/>
      <c r="S562" s="180"/>
      <c r="T562" s="180"/>
      <c r="U562" s="180"/>
      <c r="V562" s="180"/>
      <c r="W562" s="180"/>
      <c r="X562" s="180"/>
      <c r="Y562" s="180"/>
      <c r="Z562" s="180">
        <v>0.01</v>
      </c>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c r="BJ562" s="78"/>
      <c r="BK562" s="84"/>
      <c r="BL562" s="99"/>
      <c r="BM562" s="79"/>
      <c r="BN562" s="75"/>
      <c r="BO562" s="75"/>
    </row>
    <row r="563" spans="1:67" s="4" customFormat="1" ht="53.25" customHeight="1" x14ac:dyDescent="0.3">
      <c r="A563" s="220"/>
      <c r="B563" s="42" t="s">
        <v>1227</v>
      </c>
      <c r="C563" s="48" t="s">
        <v>44</v>
      </c>
      <c r="D563" s="48">
        <v>0.02</v>
      </c>
      <c r="E563" s="48"/>
      <c r="F563" s="48">
        <v>0.02</v>
      </c>
      <c r="G563" s="48">
        <v>0.02</v>
      </c>
      <c r="H563" s="48"/>
      <c r="I563" s="48"/>
      <c r="J563" s="48">
        <f>SUM(O563:BF563)</f>
        <v>0</v>
      </c>
      <c r="K563" s="142" t="s">
        <v>1225</v>
      </c>
      <c r="L563" s="139" t="s">
        <v>179</v>
      </c>
      <c r="M563" s="182" t="s">
        <v>1226</v>
      </c>
      <c r="N563" s="43"/>
      <c r="O563" s="43"/>
      <c r="P563" s="180"/>
      <c r="Q563" s="180"/>
      <c r="R563" s="180"/>
      <c r="S563" s="180"/>
      <c r="T563" s="180"/>
      <c r="U563" s="180"/>
      <c r="V563" s="180"/>
      <c r="W563" s="180"/>
      <c r="X563" s="180"/>
      <c r="Y563" s="180"/>
      <c r="Z563" s="180"/>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c r="BJ563" s="78"/>
      <c r="BK563" s="84"/>
      <c r="BL563" s="99"/>
      <c r="BM563" s="79"/>
      <c r="BN563" s="75"/>
      <c r="BO563" s="75"/>
    </row>
    <row r="564" spans="1:67" s="4" customFormat="1" ht="46.8" x14ac:dyDescent="0.3">
      <c r="A564" s="220"/>
      <c r="B564" s="42" t="s">
        <v>1229</v>
      </c>
      <c r="C564" s="48" t="s">
        <v>44</v>
      </c>
      <c r="D564" s="48">
        <v>0.01</v>
      </c>
      <c r="E564" s="48"/>
      <c r="F564" s="48">
        <v>0.01</v>
      </c>
      <c r="G564" s="48">
        <v>0.01</v>
      </c>
      <c r="H564" s="48"/>
      <c r="I564" s="48"/>
      <c r="J564" s="48">
        <f>SUM(N564:BC564)</f>
        <v>0</v>
      </c>
      <c r="K564" s="124" t="s">
        <v>1228</v>
      </c>
      <c r="L564" s="97" t="s">
        <v>395</v>
      </c>
      <c r="M564" s="49">
        <v>32</v>
      </c>
      <c r="N564" s="43"/>
      <c r="O564" s="43"/>
      <c r="P564" s="180"/>
      <c r="Q564" s="180"/>
      <c r="R564" s="180"/>
      <c r="S564" s="180"/>
      <c r="T564" s="180"/>
      <c r="U564" s="180"/>
      <c r="V564" s="180"/>
      <c r="W564" s="180"/>
      <c r="X564" s="180"/>
      <c r="Y564" s="180"/>
      <c r="Z564" s="180"/>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c r="BJ564" s="78"/>
      <c r="BK564" s="84"/>
      <c r="BL564" s="99"/>
      <c r="BM564" s="79"/>
      <c r="BN564" s="75"/>
      <c r="BO564" s="75"/>
    </row>
    <row r="565" spans="1:67" s="4" customFormat="1" ht="31.2" x14ac:dyDescent="0.3">
      <c r="A565" s="220"/>
      <c r="B565" s="42" t="s">
        <v>1232</v>
      </c>
      <c r="C565" s="48" t="s">
        <v>44</v>
      </c>
      <c r="D565" s="48">
        <v>0.01</v>
      </c>
      <c r="E565" s="48"/>
      <c r="F565" s="48">
        <v>0.01</v>
      </c>
      <c r="G565" s="48">
        <v>0.01</v>
      </c>
      <c r="H565" s="48"/>
      <c r="I565" s="48"/>
      <c r="J565" s="48">
        <f>SUM(P565:BG565)</f>
        <v>0</v>
      </c>
      <c r="K565" s="175" t="s">
        <v>1230</v>
      </c>
      <c r="L565" s="139" t="s">
        <v>208</v>
      </c>
      <c r="M565" s="182" t="s">
        <v>1231</v>
      </c>
      <c r="N565" s="43"/>
      <c r="O565" s="43"/>
      <c r="P565" s="180"/>
      <c r="Q565" s="180"/>
      <c r="R565" s="180"/>
      <c r="S565" s="180"/>
      <c r="T565" s="180"/>
      <c r="U565" s="180"/>
      <c r="V565" s="180"/>
      <c r="W565" s="180"/>
      <c r="X565" s="180"/>
      <c r="Y565" s="180"/>
      <c r="Z565" s="180"/>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c r="BJ565" s="78"/>
      <c r="BK565" s="84"/>
      <c r="BL565" s="99"/>
      <c r="BM565" s="79"/>
      <c r="BN565" s="75"/>
      <c r="BO565" s="75"/>
    </row>
    <row r="566" spans="1:67" s="4" customFormat="1" ht="31.2" x14ac:dyDescent="0.3">
      <c r="A566" s="220"/>
      <c r="B566" s="42" t="s">
        <v>1233</v>
      </c>
      <c r="C566" s="48" t="s">
        <v>44</v>
      </c>
      <c r="D566" s="48">
        <v>0.01</v>
      </c>
      <c r="E566" s="48"/>
      <c r="F566" s="48">
        <v>0.01</v>
      </c>
      <c r="G566" s="48">
        <v>0.01</v>
      </c>
      <c r="H566" s="48"/>
      <c r="I566" s="48"/>
      <c r="J566" s="48"/>
      <c r="K566" s="175" t="s">
        <v>1234</v>
      </c>
      <c r="L566" s="139" t="s">
        <v>90</v>
      </c>
      <c r="M566" s="182"/>
      <c r="N566" s="43"/>
      <c r="O566" s="43"/>
      <c r="P566" s="180"/>
      <c r="Q566" s="180"/>
      <c r="R566" s="180"/>
      <c r="S566" s="180"/>
      <c r="T566" s="180"/>
      <c r="U566" s="180"/>
      <c r="V566" s="180"/>
      <c r="W566" s="180"/>
      <c r="X566" s="180"/>
      <c r="Y566" s="180"/>
      <c r="Z566" s="180"/>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c r="BJ566" s="78"/>
      <c r="BK566" s="84"/>
      <c r="BL566" s="99"/>
      <c r="BM566" s="79"/>
      <c r="BN566" s="75"/>
      <c r="BO566" s="75"/>
    </row>
    <row r="567" spans="1:67" s="4" customFormat="1" ht="31.2" x14ac:dyDescent="0.3">
      <c r="A567" s="220"/>
      <c r="B567" s="42" t="s">
        <v>1235</v>
      </c>
      <c r="C567" s="48" t="s">
        <v>44</v>
      </c>
      <c r="D567" s="48">
        <v>0.01</v>
      </c>
      <c r="E567" s="48"/>
      <c r="F567" s="48">
        <v>0.01</v>
      </c>
      <c r="G567" s="48"/>
      <c r="H567" s="48"/>
      <c r="I567" s="48"/>
      <c r="J567" s="48">
        <v>0.01</v>
      </c>
      <c r="K567" s="54" t="s">
        <v>280</v>
      </c>
      <c r="L567" s="176" t="s">
        <v>280</v>
      </c>
      <c r="M567" s="133">
        <v>30</v>
      </c>
      <c r="N567" s="133"/>
      <c r="O567" s="133"/>
      <c r="P567" s="93"/>
      <c r="Q567" s="93"/>
      <c r="R567" s="93"/>
      <c r="S567" s="93"/>
      <c r="T567" s="93"/>
      <c r="U567" s="93"/>
      <c r="V567" s="93"/>
      <c r="W567" s="93"/>
      <c r="X567" s="93"/>
      <c r="Y567" s="93"/>
      <c r="Z567" s="93"/>
      <c r="AA567" s="93"/>
      <c r="AB567" s="93"/>
      <c r="AC567" s="93"/>
      <c r="AD567" s="93"/>
      <c r="AE567" s="93"/>
      <c r="AF567" s="93"/>
      <c r="AG567" s="93"/>
      <c r="AH567" s="93"/>
      <c r="AI567" s="93"/>
      <c r="AJ567" s="93"/>
      <c r="AK567" s="93"/>
      <c r="AL567" s="93"/>
      <c r="AM567" s="93"/>
      <c r="AN567" s="93"/>
      <c r="AO567" s="93"/>
      <c r="AP567" s="93"/>
      <c r="AQ567" s="93"/>
      <c r="AR567" s="93"/>
      <c r="AS567" s="93"/>
      <c r="AT567" s="93"/>
      <c r="AU567" s="93"/>
      <c r="AV567" s="93"/>
      <c r="AW567" s="93"/>
      <c r="AX567" s="93"/>
      <c r="AY567" s="93"/>
      <c r="AZ567" s="93"/>
      <c r="BA567" s="93"/>
      <c r="BB567" s="93"/>
      <c r="BC567" s="93"/>
      <c r="BD567" s="93"/>
      <c r="BE567" s="130">
        <v>0.01</v>
      </c>
      <c r="BF567" s="84"/>
      <c r="BG567" s="84"/>
      <c r="BH567" s="84"/>
      <c r="BI567" s="84"/>
      <c r="BJ567" s="78"/>
      <c r="BK567" s="84"/>
      <c r="BL567" s="99"/>
      <c r="BM567" s="79"/>
      <c r="BN567" s="75"/>
      <c r="BO567" s="75"/>
    </row>
    <row r="568" spans="1:67" s="4" customFormat="1" ht="46.8" x14ac:dyDescent="0.3">
      <c r="A568" s="220"/>
      <c r="B568" s="42" t="s">
        <v>1237</v>
      </c>
      <c r="C568" s="48" t="s">
        <v>44</v>
      </c>
      <c r="D568" s="48">
        <v>0.1</v>
      </c>
      <c r="E568" s="48"/>
      <c r="F568" s="48">
        <v>0.1</v>
      </c>
      <c r="G568" s="48">
        <v>0.08</v>
      </c>
      <c r="H568" s="48"/>
      <c r="I568" s="48"/>
      <c r="J568" s="48">
        <v>0.02</v>
      </c>
      <c r="K568" s="53" t="s">
        <v>1236</v>
      </c>
      <c r="L568" s="151" t="s">
        <v>93</v>
      </c>
      <c r="M568" s="133">
        <v>40</v>
      </c>
      <c r="N568" s="133"/>
      <c r="O568" s="133"/>
      <c r="P568" s="133">
        <f>F568-SUM(G568:J568)</f>
        <v>0</v>
      </c>
      <c r="Q568" s="183"/>
      <c r="R568" s="183"/>
      <c r="S568" s="183"/>
      <c r="T568" s="183"/>
      <c r="U568" s="183"/>
      <c r="V568" s="183"/>
      <c r="W568" s="183"/>
      <c r="X568" s="183"/>
      <c r="Y568" s="183"/>
      <c r="Z568" s="183"/>
      <c r="AA568" s="183"/>
      <c r="AB568" s="183"/>
      <c r="AC568" s="183"/>
      <c r="AD568" s="183"/>
      <c r="AE568" s="183"/>
      <c r="AF568" s="183"/>
      <c r="AG568" s="183"/>
      <c r="AH568" s="183"/>
      <c r="AI568" s="183"/>
      <c r="AJ568" s="183"/>
      <c r="AK568" s="183"/>
      <c r="AL568" s="183"/>
      <c r="AM568" s="183"/>
      <c r="AN568" s="183"/>
      <c r="AO568" s="183"/>
      <c r="AP568" s="183"/>
      <c r="AQ568" s="183"/>
      <c r="AR568" s="183"/>
      <c r="AS568" s="183"/>
      <c r="AT568" s="183"/>
      <c r="AU568" s="183"/>
      <c r="AV568" s="183"/>
      <c r="AW568" s="183"/>
      <c r="AX568" s="183"/>
      <c r="AY568" s="183"/>
      <c r="AZ568" s="183"/>
      <c r="BA568" s="183"/>
      <c r="BB568" s="183"/>
      <c r="BC568" s="183"/>
      <c r="BD568" s="183"/>
      <c r="BE568" s="183">
        <v>0.02</v>
      </c>
      <c r="BF568" s="84"/>
      <c r="BG568" s="84"/>
      <c r="BH568" s="84"/>
      <c r="BI568" s="84"/>
      <c r="BJ568" s="78"/>
      <c r="BK568" s="84"/>
      <c r="BL568" s="99"/>
      <c r="BM568" s="79"/>
      <c r="BN568" s="75"/>
      <c r="BO568" s="75"/>
    </row>
    <row r="569" spans="1:67" s="4" customFormat="1" ht="46.8" x14ac:dyDescent="0.3">
      <c r="A569" s="220"/>
      <c r="B569" s="42" t="s">
        <v>1239</v>
      </c>
      <c r="C569" s="48" t="s">
        <v>44</v>
      </c>
      <c r="D569" s="48">
        <v>0.01</v>
      </c>
      <c r="E569" s="48"/>
      <c r="F569" s="48">
        <v>0.01</v>
      </c>
      <c r="G569" s="48">
        <v>0.01</v>
      </c>
      <c r="H569" s="48"/>
      <c r="I569" s="48"/>
      <c r="J569" s="48"/>
      <c r="K569" s="53" t="s">
        <v>1238</v>
      </c>
      <c r="L569" s="176" t="s">
        <v>285</v>
      </c>
      <c r="M569" s="133">
        <v>26</v>
      </c>
      <c r="N569" s="133"/>
      <c r="O569" s="133"/>
      <c r="P569" s="133"/>
      <c r="Q569" s="183"/>
      <c r="R569" s="183"/>
      <c r="S569" s="183"/>
      <c r="T569" s="183"/>
      <c r="U569" s="183"/>
      <c r="V569" s="183"/>
      <c r="W569" s="183"/>
      <c r="X569" s="183"/>
      <c r="Y569" s="183"/>
      <c r="Z569" s="183"/>
      <c r="AA569" s="183"/>
      <c r="AB569" s="183"/>
      <c r="AC569" s="183"/>
      <c r="AD569" s="183"/>
      <c r="AE569" s="183"/>
      <c r="AF569" s="183"/>
      <c r="AG569" s="183"/>
      <c r="AH569" s="183"/>
      <c r="AI569" s="183"/>
      <c r="AJ569" s="183"/>
      <c r="AK569" s="183"/>
      <c r="AL569" s="183"/>
      <c r="AM569" s="183"/>
      <c r="AN569" s="183"/>
      <c r="AO569" s="183"/>
      <c r="AP569" s="183"/>
      <c r="AQ569" s="183"/>
      <c r="AR569" s="183"/>
      <c r="AS569" s="183"/>
      <c r="AT569" s="183"/>
      <c r="AU569" s="183"/>
      <c r="AV569" s="183"/>
      <c r="AW569" s="183"/>
      <c r="AX569" s="183"/>
      <c r="AY569" s="183"/>
      <c r="AZ569" s="183"/>
      <c r="BA569" s="183"/>
      <c r="BB569" s="183"/>
      <c r="BC569" s="183"/>
      <c r="BD569" s="183"/>
      <c r="BE569" s="183"/>
      <c r="BF569" s="84"/>
      <c r="BG569" s="84"/>
      <c r="BH569" s="84"/>
      <c r="BI569" s="84"/>
      <c r="BJ569" s="78"/>
      <c r="BK569" s="84"/>
      <c r="BL569" s="99"/>
      <c r="BM569" s="79"/>
      <c r="BN569" s="75"/>
      <c r="BO569" s="75"/>
    </row>
    <row r="570" spans="1:67" s="4" customFormat="1" ht="31.2" x14ac:dyDescent="0.3">
      <c r="A570" s="220"/>
      <c r="B570" s="42" t="s">
        <v>1240</v>
      </c>
      <c r="C570" s="48" t="s">
        <v>44</v>
      </c>
      <c r="D570" s="48">
        <v>0.02</v>
      </c>
      <c r="E570" s="48"/>
      <c r="F570" s="48">
        <v>0.02</v>
      </c>
      <c r="G570" s="48">
        <v>0.02</v>
      </c>
      <c r="H570" s="48"/>
      <c r="I570" s="48"/>
      <c r="J570" s="48">
        <f>SUM(Z570:BG570)</f>
        <v>0</v>
      </c>
      <c r="K570" s="42" t="s">
        <v>1243</v>
      </c>
      <c r="L570" s="111" t="s">
        <v>377</v>
      </c>
      <c r="M570" s="43">
        <v>29</v>
      </c>
      <c r="N570" s="133"/>
      <c r="O570" s="133"/>
      <c r="P570" s="13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3"/>
      <c r="AL570" s="183"/>
      <c r="AM570" s="183"/>
      <c r="AN570" s="183"/>
      <c r="AO570" s="183"/>
      <c r="AP570" s="183"/>
      <c r="AQ570" s="183"/>
      <c r="AR570" s="183"/>
      <c r="AS570" s="183"/>
      <c r="AT570" s="183"/>
      <c r="AU570" s="183"/>
      <c r="AV570" s="183"/>
      <c r="AW570" s="183"/>
      <c r="AX570" s="183"/>
      <c r="AY570" s="183"/>
      <c r="AZ570" s="183"/>
      <c r="BA570" s="183"/>
      <c r="BB570" s="183"/>
      <c r="BC570" s="183"/>
      <c r="BD570" s="183"/>
      <c r="BE570" s="183"/>
      <c r="BF570" s="84"/>
      <c r="BG570" s="84"/>
      <c r="BH570" s="84"/>
      <c r="BI570" s="84"/>
      <c r="BJ570" s="78"/>
      <c r="BK570" s="84"/>
      <c r="BL570" s="99"/>
      <c r="BM570" s="79"/>
      <c r="BN570" s="75"/>
      <c r="BO570" s="75"/>
    </row>
    <row r="571" spans="1:67" s="4" customFormat="1" ht="42" x14ac:dyDescent="0.3">
      <c r="A571" s="221"/>
      <c r="B571" s="42" t="s">
        <v>1241</v>
      </c>
      <c r="C571" s="48" t="s">
        <v>44</v>
      </c>
      <c r="D571" s="48">
        <v>0.03</v>
      </c>
      <c r="E571" s="48"/>
      <c r="F571" s="48">
        <v>0.03</v>
      </c>
      <c r="G571" s="48">
        <v>0.01</v>
      </c>
      <c r="H571" s="48"/>
      <c r="I571" s="48"/>
      <c r="J571" s="48">
        <v>0.02</v>
      </c>
      <c r="K571" s="184" t="s">
        <v>1242</v>
      </c>
      <c r="L571" s="185" t="s">
        <v>415</v>
      </c>
      <c r="M571" s="146">
        <v>51</v>
      </c>
      <c r="N571" s="145"/>
      <c r="O571" s="145"/>
      <c r="P571" s="145"/>
      <c r="Q571" s="145"/>
      <c r="R571" s="145"/>
      <c r="S571" s="145"/>
      <c r="T571" s="145"/>
      <c r="U571" s="145"/>
      <c r="V571" s="145"/>
      <c r="W571" s="145"/>
      <c r="X571" s="145"/>
      <c r="Y571" s="183"/>
      <c r="Z571" s="183">
        <v>0.02</v>
      </c>
      <c r="AA571" s="183"/>
      <c r="AB571" s="183"/>
      <c r="AC571" s="183"/>
      <c r="AD571" s="183"/>
      <c r="AE571" s="183"/>
      <c r="AF571" s="183"/>
      <c r="AG571" s="183"/>
      <c r="AH571" s="183"/>
      <c r="AI571" s="183"/>
      <c r="AJ571" s="183"/>
      <c r="AK571" s="183"/>
      <c r="AL571" s="183"/>
      <c r="AM571" s="183"/>
      <c r="AN571" s="183"/>
      <c r="AO571" s="183"/>
      <c r="AP571" s="183"/>
      <c r="AQ571" s="183"/>
      <c r="AR571" s="183"/>
      <c r="AS571" s="183"/>
      <c r="AT571" s="183"/>
      <c r="AU571" s="183"/>
      <c r="AV571" s="183"/>
      <c r="AW571" s="183"/>
      <c r="AX571" s="183"/>
      <c r="AY571" s="183"/>
      <c r="AZ571" s="183"/>
      <c r="BA571" s="183"/>
      <c r="BB571" s="183"/>
      <c r="BC571" s="183"/>
      <c r="BD571" s="183"/>
      <c r="BE571" s="183"/>
      <c r="BF571" s="84"/>
      <c r="BG571" s="84"/>
      <c r="BH571" s="84"/>
      <c r="BI571" s="84"/>
      <c r="BJ571" s="78"/>
      <c r="BK571" s="84"/>
      <c r="BL571" s="99"/>
      <c r="BM571" s="79"/>
      <c r="BN571" s="75"/>
      <c r="BO571" s="75"/>
    </row>
    <row r="572" spans="1:67" s="4" customFormat="1" ht="124.8" x14ac:dyDescent="0.3">
      <c r="A572" s="48">
        <v>2</v>
      </c>
      <c r="B572" s="50" t="s">
        <v>121</v>
      </c>
      <c r="C572" s="48" t="s">
        <v>44</v>
      </c>
      <c r="D572" s="48">
        <v>0.14000000000000001</v>
      </c>
      <c r="E572" s="48"/>
      <c r="F572" s="48">
        <v>0.14000000000000001</v>
      </c>
      <c r="G572" s="48">
        <v>0.14000000000000001</v>
      </c>
      <c r="H572" s="48"/>
      <c r="I572" s="48"/>
      <c r="J572" s="48">
        <v>0</v>
      </c>
      <c r="K572" s="94" t="s">
        <v>682</v>
      </c>
      <c r="L572" s="111" t="s">
        <v>677</v>
      </c>
      <c r="M572" s="110" t="s">
        <v>681</v>
      </c>
      <c r="N572" s="211">
        <v>453</v>
      </c>
      <c r="O572" s="110"/>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c r="BE572" s="39"/>
      <c r="BF572" s="39"/>
      <c r="BG572" s="39"/>
      <c r="BH572" s="39"/>
      <c r="BI572" s="39"/>
      <c r="BJ572" s="78">
        <f t="shared" si="62"/>
        <v>0</v>
      </c>
      <c r="BK572" s="39"/>
      <c r="BL572" s="99">
        <v>28</v>
      </c>
      <c r="BM572" s="79">
        <f t="shared" ref="BM572:BM636" si="68">J572-SUM(V572:BH572)</f>
        <v>0</v>
      </c>
      <c r="BN572" s="75" t="s">
        <v>1311</v>
      </c>
      <c r="BO572" s="75"/>
    </row>
    <row r="573" spans="1:67" s="4" customFormat="1" ht="156" x14ac:dyDescent="0.3">
      <c r="A573" s="48">
        <v>3</v>
      </c>
      <c r="B573" s="42" t="s">
        <v>684</v>
      </c>
      <c r="C573" s="48" t="s">
        <v>44</v>
      </c>
      <c r="D573" s="48">
        <v>0.11</v>
      </c>
      <c r="E573" s="48"/>
      <c r="F573" s="48">
        <v>0.11</v>
      </c>
      <c r="G573" s="48">
        <v>0.05</v>
      </c>
      <c r="H573" s="48"/>
      <c r="I573" s="48"/>
      <c r="J573" s="48">
        <v>0.06</v>
      </c>
      <c r="K573" s="94" t="s">
        <v>683</v>
      </c>
      <c r="L573" s="111" t="s">
        <v>677</v>
      </c>
      <c r="M573" s="99"/>
      <c r="N573" s="207">
        <v>454</v>
      </c>
      <c r="O573" s="99"/>
      <c r="P573" s="39"/>
      <c r="Q573" s="39"/>
      <c r="R573" s="39"/>
      <c r="S573" s="39"/>
      <c r="T573" s="39"/>
      <c r="U573" s="39"/>
      <c r="V573" s="39"/>
      <c r="W573" s="39"/>
      <c r="X573" s="39"/>
      <c r="Y573" s="39"/>
      <c r="Z573" s="39">
        <v>0.02</v>
      </c>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39"/>
      <c r="BD573" s="39"/>
      <c r="BE573" s="39">
        <v>0.04</v>
      </c>
      <c r="BF573" s="39"/>
      <c r="BG573" s="39"/>
      <c r="BH573" s="39"/>
      <c r="BI573" s="39"/>
      <c r="BJ573" s="78">
        <f t="shared" si="62"/>
        <v>0</v>
      </c>
      <c r="BK573" s="84"/>
      <c r="BL573" s="99">
        <v>28</v>
      </c>
      <c r="BM573" s="79">
        <f t="shared" si="68"/>
        <v>0</v>
      </c>
      <c r="BN573" s="75" t="s">
        <v>1311</v>
      </c>
      <c r="BO573" s="75"/>
    </row>
    <row r="574" spans="1:67" s="4" customFormat="1" x14ac:dyDescent="0.3">
      <c r="A574" s="48">
        <v>4</v>
      </c>
      <c r="B574" s="50" t="s">
        <v>150</v>
      </c>
      <c r="C574" s="48" t="s">
        <v>44</v>
      </c>
      <c r="D574" s="48">
        <v>0.15</v>
      </c>
      <c r="E574" s="48"/>
      <c r="F574" s="48">
        <v>0.15</v>
      </c>
      <c r="G574" s="48"/>
      <c r="H574" s="48">
        <v>0</v>
      </c>
      <c r="I574" s="48"/>
      <c r="J574" s="48">
        <v>0.15</v>
      </c>
      <c r="K574" s="50"/>
      <c r="L574" s="186" t="s">
        <v>125</v>
      </c>
      <c r="M574" s="110">
        <v>52</v>
      </c>
      <c r="N574" s="211">
        <v>455</v>
      </c>
      <c r="O574" s="110"/>
      <c r="P574" s="39"/>
      <c r="Q574" s="39"/>
      <c r="R574" s="39"/>
      <c r="S574" s="39"/>
      <c r="T574" s="39"/>
      <c r="U574" s="39"/>
      <c r="V574" s="39"/>
      <c r="W574" s="39"/>
      <c r="X574" s="39"/>
      <c r="Y574" s="39"/>
      <c r="Z574" s="39">
        <v>0.15</v>
      </c>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39"/>
      <c r="BD574" s="39"/>
      <c r="BE574" s="39"/>
      <c r="BF574" s="39"/>
      <c r="BG574" s="39"/>
      <c r="BH574" s="39"/>
      <c r="BI574" s="39"/>
      <c r="BJ574" s="78">
        <f t="shared" si="62"/>
        <v>0</v>
      </c>
      <c r="BK574" s="39"/>
      <c r="BL574" s="99">
        <v>28</v>
      </c>
      <c r="BM574" s="79">
        <f t="shared" si="68"/>
        <v>0</v>
      </c>
      <c r="BN574" s="75"/>
      <c r="BO574" s="75"/>
    </row>
    <row r="575" spans="1:67" s="4" customFormat="1" x14ac:dyDescent="0.3">
      <c r="A575" s="48">
        <v>5</v>
      </c>
      <c r="B575" s="187" t="s">
        <v>679</v>
      </c>
      <c r="C575" s="48" t="s">
        <v>44</v>
      </c>
      <c r="D575" s="48">
        <v>3</v>
      </c>
      <c r="E575" s="48"/>
      <c r="F575" s="48">
        <v>3</v>
      </c>
      <c r="G575" s="48">
        <v>3</v>
      </c>
      <c r="H575" s="48"/>
      <c r="I575" s="48"/>
      <c r="J575" s="48"/>
      <c r="K575" s="188"/>
      <c r="L575" s="189" t="s">
        <v>154</v>
      </c>
      <c r="M575" s="110" t="s">
        <v>672</v>
      </c>
      <c r="N575" s="211">
        <v>456</v>
      </c>
      <c r="O575" s="110"/>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c r="BC575" s="39"/>
      <c r="BD575" s="39"/>
      <c r="BE575" s="39"/>
      <c r="BF575" s="39"/>
      <c r="BG575" s="39"/>
      <c r="BH575" s="39"/>
      <c r="BI575" s="39"/>
      <c r="BJ575" s="78">
        <f t="shared" si="62"/>
        <v>0</v>
      </c>
      <c r="BK575" s="39"/>
      <c r="BL575" s="99">
        <v>28</v>
      </c>
      <c r="BM575" s="79">
        <f t="shared" si="68"/>
        <v>0</v>
      </c>
      <c r="BN575" s="75"/>
      <c r="BO575" s="75"/>
    </row>
    <row r="576" spans="1:67" s="4" customFormat="1" x14ac:dyDescent="0.3">
      <c r="A576" s="48">
        <v>6</v>
      </c>
      <c r="B576" s="123" t="s">
        <v>680</v>
      </c>
      <c r="C576" s="48" t="s">
        <v>44</v>
      </c>
      <c r="D576" s="48">
        <v>1.26</v>
      </c>
      <c r="E576" s="48"/>
      <c r="F576" s="48">
        <v>1.26</v>
      </c>
      <c r="G576" s="48">
        <v>0.5</v>
      </c>
      <c r="H576" s="48"/>
      <c r="I576" s="48"/>
      <c r="J576" s="48">
        <v>0.76</v>
      </c>
      <c r="K576" s="123"/>
      <c r="L576" s="190" t="s">
        <v>233</v>
      </c>
      <c r="M576" s="110" t="s">
        <v>672</v>
      </c>
      <c r="N576" s="211">
        <v>457</v>
      </c>
      <c r="O576" s="110"/>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c r="BC576" s="39"/>
      <c r="BD576" s="39"/>
      <c r="BE576" s="39">
        <v>0.76</v>
      </c>
      <c r="BF576" s="39"/>
      <c r="BG576" s="39"/>
      <c r="BH576" s="39"/>
      <c r="BI576" s="39"/>
      <c r="BJ576" s="78">
        <f t="shared" si="62"/>
        <v>0</v>
      </c>
      <c r="BK576" s="39"/>
      <c r="BL576" s="99">
        <v>28</v>
      </c>
      <c r="BM576" s="79">
        <f t="shared" si="68"/>
        <v>0</v>
      </c>
      <c r="BN576" s="75"/>
      <c r="BO576" s="75"/>
    </row>
    <row r="577" spans="1:67" s="62" customFormat="1" ht="78" x14ac:dyDescent="0.3">
      <c r="A577" s="48">
        <v>7</v>
      </c>
      <c r="B577" s="42" t="s">
        <v>1118</v>
      </c>
      <c r="C577" s="103" t="s">
        <v>44</v>
      </c>
      <c r="D577" s="104">
        <v>7.0000000000000007E-2</v>
      </c>
      <c r="E577" s="104"/>
      <c r="F577" s="104">
        <v>7.0000000000000007E-2</v>
      </c>
      <c r="G577" s="104">
        <v>7.0000000000000007E-2</v>
      </c>
      <c r="H577" s="104"/>
      <c r="I577" s="104"/>
      <c r="J577" s="104"/>
      <c r="K577" s="123"/>
      <c r="L577" s="190" t="s">
        <v>686</v>
      </c>
      <c r="M577" s="110" t="s">
        <v>672</v>
      </c>
      <c r="N577" s="211">
        <v>458</v>
      </c>
      <c r="O577" s="110"/>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39"/>
      <c r="BD577" s="39"/>
      <c r="BE577" s="39"/>
      <c r="BF577" s="39"/>
      <c r="BG577" s="39"/>
      <c r="BH577" s="39"/>
      <c r="BI577" s="39"/>
      <c r="BJ577" s="78">
        <f t="shared" si="62"/>
        <v>0</v>
      </c>
      <c r="BK577" s="39"/>
      <c r="BL577" s="99">
        <v>28</v>
      </c>
      <c r="BM577" s="79">
        <f t="shared" si="68"/>
        <v>0</v>
      </c>
      <c r="BN577" s="75" t="s">
        <v>1310</v>
      </c>
      <c r="BO577" s="75"/>
    </row>
    <row r="578" spans="1:67" ht="31.2" x14ac:dyDescent="0.3">
      <c r="A578" s="76" t="s">
        <v>635</v>
      </c>
      <c r="B578" s="77" t="s">
        <v>636</v>
      </c>
      <c r="C578" s="76" t="s">
        <v>45</v>
      </c>
      <c r="D578" s="81">
        <f>D579+D602+D601</f>
        <v>3.5300000000000002</v>
      </c>
      <c r="E578" s="81">
        <f t="shared" ref="E578:BI578" si="69">E579+E602+E601</f>
        <v>0</v>
      </c>
      <c r="F578" s="81">
        <f t="shared" si="69"/>
        <v>3.5300000000000002</v>
      </c>
      <c r="G578" s="81">
        <f t="shared" si="69"/>
        <v>1.4200000000000002</v>
      </c>
      <c r="H578" s="81">
        <f t="shared" si="69"/>
        <v>0</v>
      </c>
      <c r="I578" s="81">
        <f t="shared" si="69"/>
        <v>0</v>
      </c>
      <c r="J578" s="81">
        <f t="shared" si="69"/>
        <v>2.1100000000000003</v>
      </c>
      <c r="K578" s="81"/>
      <c r="L578" s="81"/>
      <c r="M578" s="81"/>
      <c r="N578" s="81"/>
      <c r="O578" s="81"/>
      <c r="P578" s="81">
        <f t="shared" si="69"/>
        <v>0</v>
      </c>
      <c r="Q578" s="81">
        <f t="shared" si="69"/>
        <v>0</v>
      </c>
      <c r="R578" s="81">
        <f t="shared" si="69"/>
        <v>0</v>
      </c>
      <c r="S578" s="81">
        <f t="shared" si="69"/>
        <v>0</v>
      </c>
      <c r="T578" s="81">
        <f t="shared" si="69"/>
        <v>0</v>
      </c>
      <c r="U578" s="81">
        <f t="shared" si="69"/>
        <v>0</v>
      </c>
      <c r="V578" s="81">
        <f t="shared" si="69"/>
        <v>0.14000000000000001</v>
      </c>
      <c r="W578" s="81">
        <f t="shared" si="69"/>
        <v>0</v>
      </c>
      <c r="X578" s="81">
        <f t="shared" si="69"/>
        <v>0.37999999999999995</v>
      </c>
      <c r="Y578" s="81">
        <f t="shared" si="69"/>
        <v>0.04</v>
      </c>
      <c r="Z578" s="81">
        <f t="shared" si="69"/>
        <v>0.3</v>
      </c>
      <c r="AA578" s="81">
        <f t="shared" si="69"/>
        <v>0.28999999999999998</v>
      </c>
      <c r="AB578" s="81">
        <f t="shared" si="69"/>
        <v>0.04</v>
      </c>
      <c r="AC578" s="81">
        <f t="shared" si="69"/>
        <v>0</v>
      </c>
      <c r="AD578" s="81">
        <f t="shared" si="69"/>
        <v>0</v>
      </c>
      <c r="AE578" s="81">
        <f t="shared" si="69"/>
        <v>0</v>
      </c>
      <c r="AF578" s="81">
        <f t="shared" si="69"/>
        <v>0</v>
      </c>
      <c r="AG578" s="81">
        <f t="shared" si="69"/>
        <v>0.03</v>
      </c>
      <c r="AH578" s="81">
        <f t="shared" si="69"/>
        <v>0</v>
      </c>
      <c r="AI578" s="81">
        <f t="shared" si="69"/>
        <v>0</v>
      </c>
      <c r="AJ578" s="81">
        <f t="shared" si="69"/>
        <v>0</v>
      </c>
      <c r="AK578" s="81">
        <f t="shared" si="69"/>
        <v>0</v>
      </c>
      <c r="AL578" s="81">
        <f t="shared" si="69"/>
        <v>0</v>
      </c>
      <c r="AM578" s="81">
        <f t="shared" si="69"/>
        <v>0</v>
      </c>
      <c r="AN578" s="81">
        <f t="shared" si="69"/>
        <v>0.02</v>
      </c>
      <c r="AO578" s="81">
        <f t="shared" si="69"/>
        <v>0</v>
      </c>
      <c r="AP578" s="81">
        <f t="shared" si="69"/>
        <v>0</v>
      </c>
      <c r="AQ578" s="81">
        <f t="shared" si="69"/>
        <v>0</v>
      </c>
      <c r="AR578" s="81">
        <f t="shared" si="69"/>
        <v>0.06</v>
      </c>
      <c r="AS578" s="81">
        <f t="shared" si="69"/>
        <v>0</v>
      </c>
      <c r="AT578" s="81">
        <f t="shared" si="69"/>
        <v>0</v>
      </c>
      <c r="AU578" s="81">
        <f t="shared" si="69"/>
        <v>0</v>
      </c>
      <c r="AV578" s="81">
        <f t="shared" si="69"/>
        <v>0</v>
      </c>
      <c r="AW578" s="81">
        <f t="shared" si="69"/>
        <v>0</v>
      </c>
      <c r="AX578" s="81">
        <f t="shared" si="69"/>
        <v>0</v>
      </c>
      <c r="AY578" s="81">
        <f t="shared" si="69"/>
        <v>0</v>
      </c>
      <c r="AZ578" s="81">
        <f t="shared" si="69"/>
        <v>0</v>
      </c>
      <c r="BA578" s="81">
        <f t="shared" si="69"/>
        <v>0</v>
      </c>
      <c r="BB578" s="81">
        <f t="shared" si="69"/>
        <v>0</v>
      </c>
      <c r="BC578" s="81">
        <f t="shared" si="69"/>
        <v>0</v>
      </c>
      <c r="BD578" s="81">
        <f t="shared" si="69"/>
        <v>0.04</v>
      </c>
      <c r="BE578" s="81">
        <f t="shared" si="69"/>
        <v>0.67</v>
      </c>
      <c r="BF578" s="81">
        <f t="shared" si="69"/>
        <v>0.1</v>
      </c>
      <c r="BG578" s="81">
        <f t="shared" si="69"/>
        <v>0</v>
      </c>
      <c r="BH578" s="81">
        <f t="shared" si="69"/>
        <v>0</v>
      </c>
      <c r="BI578" s="81">
        <f t="shared" si="69"/>
        <v>0</v>
      </c>
      <c r="BJ578" s="78">
        <f t="shared" ref="BJ578:BJ631" si="70">D578-E578-F578</f>
        <v>0</v>
      </c>
      <c r="BK578" s="84"/>
      <c r="BL578" s="44">
        <v>29</v>
      </c>
      <c r="BM578" s="79">
        <f t="shared" si="68"/>
        <v>0</v>
      </c>
      <c r="BN578" s="75"/>
      <c r="BO578" s="75"/>
    </row>
    <row r="579" spans="1:67" ht="187.2" x14ac:dyDescent="0.3">
      <c r="A579" s="219">
        <v>1</v>
      </c>
      <c r="B579" s="42" t="s">
        <v>414</v>
      </c>
      <c r="C579" s="53" t="s">
        <v>45</v>
      </c>
      <c r="D579" s="53">
        <f>SUM(D580:D600)</f>
        <v>3.4400000000000004</v>
      </c>
      <c r="E579" s="53">
        <f t="shared" ref="E579:BI579" si="71">SUM(E580:E600)</f>
        <v>0</v>
      </c>
      <c r="F579" s="53">
        <f t="shared" si="71"/>
        <v>3.4400000000000004</v>
      </c>
      <c r="G579" s="53">
        <f t="shared" si="71"/>
        <v>1.4200000000000002</v>
      </c>
      <c r="H579" s="53">
        <f t="shared" si="71"/>
        <v>0</v>
      </c>
      <c r="I579" s="53">
        <f t="shared" si="71"/>
        <v>0</v>
      </c>
      <c r="J579" s="53">
        <f t="shared" si="71"/>
        <v>2.0200000000000005</v>
      </c>
      <c r="K579" s="54" t="s">
        <v>1156</v>
      </c>
      <c r="L579" s="54" t="s">
        <v>677</v>
      </c>
      <c r="M579" s="53"/>
      <c r="N579" s="210">
        <v>799</v>
      </c>
      <c r="O579" s="53" t="s">
        <v>1194</v>
      </c>
      <c r="P579" s="53">
        <f t="shared" si="71"/>
        <v>0</v>
      </c>
      <c r="Q579" s="53">
        <f t="shared" si="71"/>
        <v>0</v>
      </c>
      <c r="R579" s="53">
        <f t="shared" si="71"/>
        <v>0</v>
      </c>
      <c r="S579" s="53">
        <f t="shared" si="71"/>
        <v>0</v>
      </c>
      <c r="T579" s="53">
        <f t="shared" si="71"/>
        <v>0</v>
      </c>
      <c r="U579" s="53">
        <f t="shared" si="71"/>
        <v>0</v>
      </c>
      <c r="V579" s="53">
        <f t="shared" si="71"/>
        <v>0.14000000000000001</v>
      </c>
      <c r="W579" s="53">
        <f t="shared" si="71"/>
        <v>0</v>
      </c>
      <c r="X579" s="53">
        <f t="shared" si="71"/>
        <v>0.37999999999999995</v>
      </c>
      <c r="Y579" s="53">
        <f t="shared" si="71"/>
        <v>0.04</v>
      </c>
      <c r="Z579" s="53">
        <f t="shared" si="71"/>
        <v>0.25</v>
      </c>
      <c r="AA579" s="53">
        <f t="shared" si="71"/>
        <v>0.25</v>
      </c>
      <c r="AB579" s="53">
        <f t="shared" si="71"/>
        <v>0.04</v>
      </c>
      <c r="AC579" s="53">
        <f t="shared" si="71"/>
        <v>0</v>
      </c>
      <c r="AD579" s="53">
        <f t="shared" si="71"/>
        <v>0</v>
      </c>
      <c r="AE579" s="53">
        <f t="shared" si="71"/>
        <v>0</v>
      </c>
      <c r="AF579" s="53">
        <f t="shared" si="71"/>
        <v>0</v>
      </c>
      <c r="AG579" s="53">
        <f t="shared" si="71"/>
        <v>0.03</v>
      </c>
      <c r="AH579" s="53">
        <f t="shared" si="71"/>
        <v>0</v>
      </c>
      <c r="AI579" s="53">
        <f t="shared" si="71"/>
        <v>0</v>
      </c>
      <c r="AJ579" s="53">
        <f t="shared" si="71"/>
        <v>0</v>
      </c>
      <c r="AK579" s="53">
        <f t="shared" si="71"/>
        <v>0</v>
      </c>
      <c r="AL579" s="53">
        <f t="shared" si="71"/>
        <v>0</v>
      </c>
      <c r="AM579" s="53">
        <f t="shared" si="71"/>
        <v>0</v>
      </c>
      <c r="AN579" s="53">
        <f t="shared" si="71"/>
        <v>0.02</v>
      </c>
      <c r="AO579" s="53">
        <f t="shared" si="71"/>
        <v>0</v>
      </c>
      <c r="AP579" s="53">
        <f t="shared" si="71"/>
        <v>0</v>
      </c>
      <c r="AQ579" s="53">
        <f t="shared" si="71"/>
        <v>0</v>
      </c>
      <c r="AR579" s="53">
        <f t="shared" si="71"/>
        <v>0.06</v>
      </c>
      <c r="AS579" s="53">
        <f t="shared" si="71"/>
        <v>0</v>
      </c>
      <c r="AT579" s="53">
        <f t="shared" si="71"/>
        <v>0</v>
      </c>
      <c r="AU579" s="53">
        <f t="shared" si="71"/>
        <v>0</v>
      </c>
      <c r="AV579" s="53">
        <f t="shared" si="71"/>
        <v>0</v>
      </c>
      <c r="AW579" s="53">
        <f t="shared" si="71"/>
        <v>0</v>
      </c>
      <c r="AX579" s="53">
        <f t="shared" si="71"/>
        <v>0</v>
      </c>
      <c r="AY579" s="53">
        <f t="shared" si="71"/>
        <v>0</v>
      </c>
      <c r="AZ579" s="53">
        <f t="shared" si="71"/>
        <v>0</v>
      </c>
      <c r="BA579" s="53">
        <f t="shared" si="71"/>
        <v>0</v>
      </c>
      <c r="BB579" s="53">
        <f t="shared" si="71"/>
        <v>0</v>
      </c>
      <c r="BC579" s="53">
        <f t="shared" si="71"/>
        <v>0</v>
      </c>
      <c r="BD579" s="53">
        <f t="shared" si="71"/>
        <v>0.04</v>
      </c>
      <c r="BE579" s="53">
        <f t="shared" si="71"/>
        <v>0.67</v>
      </c>
      <c r="BF579" s="53">
        <f t="shared" si="71"/>
        <v>0.1</v>
      </c>
      <c r="BG579" s="53">
        <f t="shared" si="71"/>
        <v>0</v>
      </c>
      <c r="BH579" s="53">
        <f t="shared" si="71"/>
        <v>0</v>
      </c>
      <c r="BI579" s="53">
        <f t="shared" si="71"/>
        <v>0</v>
      </c>
      <c r="BJ579" s="78">
        <f t="shared" si="70"/>
        <v>0</v>
      </c>
      <c r="BK579" s="84"/>
      <c r="BL579" s="44">
        <v>29</v>
      </c>
      <c r="BM579" s="79">
        <f t="shared" si="68"/>
        <v>0</v>
      </c>
      <c r="BN579" s="75"/>
      <c r="BO579" s="75"/>
    </row>
    <row r="580" spans="1:67" s="4" customFormat="1" ht="46.8" x14ac:dyDescent="0.3">
      <c r="A580" s="220"/>
      <c r="B580" s="42" t="s">
        <v>1119</v>
      </c>
      <c r="C580" s="53" t="s">
        <v>45</v>
      </c>
      <c r="D580" s="53">
        <v>0.23</v>
      </c>
      <c r="E580" s="53"/>
      <c r="F580" s="53">
        <v>0.23</v>
      </c>
      <c r="G580" s="53"/>
      <c r="H580" s="53"/>
      <c r="I580" s="53"/>
      <c r="J580" s="53">
        <f>SUM(P580:BG580)</f>
        <v>0.22999999999999998</v>
      </c>
      <c r="K580" s="175" t="s">
        <v>1120</v>
      </c>
      <c r="L580" s="50" t="s">
        <v>102</v>
      </c>
      <c r="M580" s="143" t="s">
        <v>1121</v>
      </c>
      <c r="N580" s="143"/>
      <c r="O580" s="143"/>
      <c r="P580" s="180"/>
      <c r="Q580" s="180"/>
      <c r="R580" s="180"/>
      <c r="S580" s="180"/>
      <c r="T580" s="180"/>
      <c r="U580" s="180"/>
      <c r="V580" s="180"/>
      <c r="W580" s="180"/>
      <c r="X580" s="180">
        <v>0.13</v>
      </c>
      <c r="Y580" s="180"/>
      <c r="Z580" s="180">
        <v>0.05</v>
      </c>
      <c r="AA580" s="180"/>
      <c r="AB580" s="180"/>
      <c r="AC580" s="180"/>
      <c r="AD580" s="180"/>
      <c r="AE580" s="180"/>
      <c r="AF580" s="180"/>
      <c r="AG580" s="180"/>
      <c r="AH580" s="180"/>
      <c r="AI580" s="180"/>
      <c r="AJ580" s="180"/>
      <c r="AK580" s="180"/>
      <c r="AL580" s="180"/>
      <c r="AM580" s="180"/>
      <c r="AN580" s="180"/>
      <c r="AO580" s="180"/>
      <c r="AP580" s="180"/>
      <c r="AQ580" s="180"/>
      <c r="AR580" s="180"/>
      <c r="AS580" s="180"/>
      <c r="AT580" s="180"/>
      <c r="AU580" s="180"/>
      <c r="AV580" s="180"/>
      <c r="AW580" s="180"/>
      <c r="AX580" s="180"/>
      <c r="AY580" s="180"/>
      <c r="AZ580" s="180"/>
      <c r="BA580" s="180"/>
      <c r="BB580" s="180"/>
      <c r="BC580" s="180"/>
      <c r="BD580" s="180"/>
      <c r="BE580" s="180">
        <v>0.05</v>
      </c>
      <c r="BF580" s="180"/>
      <c r="BG580" s="180"/>
      <c r="BH580" s="84"/>
      <c r="BI580" s="84"/>
      <c r="BJ580" s="78"/>
      <c r="BK580" s="84"/>
      <c r="BL580" s="44"/>
      <c r="BM580" s="79"/>
      <c r="BN580" s="75"/>
      <c r="BO580" s="75"/>
    </row>
    <row r="581" spans="1:67" s="4" customFormat="1" ht="31.2" x14ac:dyDescent="0.3">
      <c r="A581" s="220"/>
      <c r="B581" s="42" t="s">
        <v>1122</v>
      </c>
      <c r="C581" s="53" t="s">
        <v>45</v>
      </c>
      <c r="D581" s="53">
        <v>0.37</v>
      </c>
      <c r="E581" s="53"/>
      <c r="F581" s="53">
        <v>0.37</v>
      </c>
      <c r="G581" s="53">
        <v>0.26</v>
      </c>
      <c r="H581" s="53"/>
      <c r="I581" s="53"/>
      <c r="J581" s="53">
        <v>0.11</v>
      </c>
      <c r="K581" s="54" t="s">
        <v>233</v>
      </c>
      <c r="L581" s="54" t="s">
        <v>233</v>
      </c>
      <c r="M581" s="127">
        <v>19</v>
      </c>
      <c r="N581" s="127"/>
      <c r="O581" s="53"/>
      <c r="P581" s="93"/>
      <c r="Q581" s="93"/>
      <c r="R581" s="93"/>
      <c r="S581" s="93"/>
      <c r="T581" s="93"/>
      <c r="U581" s="93"/>
      <c r="V581" s="93"/>
      <c r="W581" s="93"/>
      <c r="X581" s="93"/>
      <c r="Y581" s="93"/>
      <c r="Z581" s="93"/>
      <c r="AA581" s="93"/>
      <c r="AB581" s="93"/>
      <c r="AC581" s="93"/>
      <c r="AD581" s="93"/>
      <c r="AE581" s="93"/>
      <c r="AF581" s="93"/>
      <c r="AG581" s="93"/>
      <c r="AH581" s="93"/>
      <c r="AI581" s="93"/>
      <c r="AJ581" s="93"/>
      <c r="AK581" s="93"/>
      <c r="AL581" s="93"/>
      <c r="AM581" s="93"/>
      <c r="AN581" s="93"/>
      <c r="AO581" s="93"/>
      <c r="AP581" s="93"/>
      <c r="AQ581" s="93"/>
      <c r="AR581" s="93"/>
      <c r="AS581" s="93"/>
      <c r="AT581" s="93"/>
      <c r="AU581" s="93"/>
      <c r="AV581" s="93"/>
      <c r="AW581" s="93"/>
      <c r="AX581" s="93"/>
      <c r="AY581" s="93"/>
      <c r="AZ581" s="93"/>
      <c r="BA581" s="93"/>
      <c r="BB581" s="93"/>
      <c r="BC581" s="93"/>
      <c r="BD581" s="93"/>
      <c r="BE581" s="93">
        <v>0.11</v>
      </c>
      <c r="BF581" s="93"/>
      <c r="BG581" s="93"/>
      <c r="BH581" s="93"/>
      <c r="BI581" s="84"/>
      <c r="BJ581" s="78"/>
      <c r="BK581" s="84"/>
      <c r="BL581" s="44"/>
      <c r="BM581" s="79"/>
      <c r="BN581" s="75"/>
      <c r="BO581" s="75"/>
    </row>
    <row r="582" spans="1:67" s="4" customFormat="1" ht="31.2" x14ac:dyDescent="0.3">
      <c r="A582" s="220"/>
      <c r="B582" s="42" t="s">
        <v>1124</v>
      </c>
      <c r="C582" s="53" t="s">
        <v>45</v>
      </c>
      <c r="D582" s="53">
        <v>0.11</v>
      </c>
      <c r="E582" s="53"/>
      <c r="F582" s="53">
        <v>0.11</v>
      </c>
      <c r="G582" s="53">
        <v>0.04</v>
      </c>
      <c r="H582" s="53"/>
      <c r="I582" s="53"/>
      <c r="J582" s="53">
        <v>7.0000000000000007E-2</v>
      </c>
      <c r="K582" s="54" t="s">
        <v>1123</v>
      </c>
      <c r="L582" s="54" t="s">
        <v>247</v>
      </c>
      <c r="M582" s="191"/>
      <c r="N582" s="133"/>
      <c r="O582" s="133"/>
      <c r="P582" s="133"/>
      <c r="Q582" s="93"/>
      <c r="R582" s="93"/>
      <c r="S582" s="93"/>
      <c r="T582" s="93"/>
      <c r="U582" s="93"/>
      <c r="V582" s="93"/>
      <c r="W582" s="93"/>
      <c r="X582" s="93"/>
      <c r="Y582" s="93"/>
      <c r="Z582" s="93"/>
      <c r="AA582" s="93">
        <v>0.03</v>
      </c>
      <c r="AB582" s="93"/>
      <c r="AC582" s="93"/>
      <c r="AD582" s="93"/>
      <c r="AE582" s="93"/>
      <c r="AF582" s="93"/>
      <c r="AG582" s="93"/>
      <c r="AH582" s="93"/>
      <c r="AI582" s="93"/>
      <c r="AJ582" s="93"/>
      <c r="AK582" s="93"/>
      <c r="AL582" s="93"/>
      <c r="AM582" s="93"/>
      <c r="AN582" s="93"/>
      <c r="AO582" s="93"/>
      <c r="AP582" s="93"/>
      <c r="AQ582" s="93"/>
      <c r="AR582" s="93"/>
      <c r="AS582" s="93"/>
      <c r="AT582" s="93"/>
      <c r="AU582" s="93"/>
      <c r="AV582" s="93"/>
      <c r="AW582" s="93"/>
      <c r="AX582" s="93"/>
      <c r="AY582" s="93"/>
      <c r="AZ582" s="93"/>
      <c r="BA582" s="93"/>
      <c r="BB582" s="93"/>
      <c r="BC582" s="93"/>
      <c r="BD582" s="93"/>
      <c r="BE582" s="93">
        <v>0.04</v>
      </c>
      <c r="BF582" s="93"/>
      <c r="BG582" s="84"/>
      <c r="BH582" s="84"/>
      <c r="BI582" s="84"/>
      <c r="BJ582" s="78"/>
      <c r="BK582" s="84"/>
      <c r="BL582" s="44"/>
      <c r="BM582" s="79"/>
      <c r="BN582" s="75"/>
      <c r="BO582" s="75"/>
    </row>
    <row r="583" spans="1:67" s="4" customFormat="1" ht="31.2" x14ac:dyDescent="0.3">
      <c r="A583" s="220"/>
      <c r="B583" s="42" t="s">
        <v>1126</v>
      </c>
      <c r="C583" s="53" t="s">
        <v>45</v>
      </c>
      <c r="D583" s="53">
        <v>0.16</v>
      </c>
      <c r="E583" s="53"/>
      <c r="F583" s="53">
        <v>0.16</v>
      </c>
      <c r="G583" s="53">
        <v>0.03</v>
      </c>
      <c r="H583" s="53"/>
      <c r="I583" s="53"/>
      <c r="J583" s="53">
        <f t="shared" ref="J583" si="72">SUM(V583:BG583)</f>
        <v>0.13</v>
      </c>
      <c r="K583" s="129" t="s">
        <v>1125</v>
      </c>
      <c r="L583" s="54" t="s">
        <v>58</v>
      </c>
      <c r="M583" s="53"/>
      <c r="N583" s="53"/>
      <c r="O583" s="53"/>
      <c r="P583" s="155"/>
      <c r="Q583" s="192"/>
      <c r="R583" s="192"/>
      <c r="S583" s="192"/>
      <c r="T583" s="192"/>
      <c r="U583" s="192"/>
      <c r="V583" s="192">
        <v>0.04</v>
      </c>
      <c r="W583" s="192"/>
      <c r="X583" s="192"/>
      <c r="Y583" s="192"/>
      <c r="Z583" s="192">
        <v>0.03</v>
      </c>
      <c r="AA583" s="192">
        <v>0.03</v>
      </c>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192"/>
      <c r="AW583" s="192"/>
      <c r="AX583" s="192"/>
      <c r="AY583" s="192"/>
      <c r="AZ583" s="192"/>
      <c r="BA583" s="192"/>
      <c r="BB583" s="192"/>
      <c r="BC583" s="192"/>
      <c r="BD583" s="192"/>
      <c r="BE583" s="192">
        <v>0.03</v>
      </c>
      <c r="BF583" s="84"/>
      <c r="BG583" s="84"/>
      <c r="BH583" s="84"/>
      <c r="BI583" s="84"/>
      <c r="BJ583" s="78"/>
      <c r="BK583" s="84"/>
      <c r="BL583" s="44"/>
      <c r="BM583" s="79"/>
      <c r="BN583" s="75"/>
      <c r="BO583" s="75"/>
    </row>
    <row r="584" spans="1:67" s="4" customFormat="1" ht="31.2" x14ac:dyDescent="0.3">
      <c r="A584" s="220"/>
      <c r="B584" s="42" t="s">
        <v>1127</v>
      </c>
      <c r="C584" s="53" t="s">
        <v>45</v>
      </c>
      <c r="D584" s="134">
        <v>0.3</v>
      </c>
      <c r="E584" s="134"/>
      <c r="F584" s="134">
        <v>0.3</v>
      </c>
      <c r="G584" s="134">
        <v>0.11</v>
      </c>
      <c r="H584" s="134"/>
      <c r="I584" s="134"/>
      <c r="J584" s="134">
        <f t="shared" ref="J584" si="73">SUM(Z584:BG584)</f>
        <v>0.19</v>
      </c>
      <c r="K584" s="155"/>
      <c r="L584" s="54" t="s">
        <v>294</v>
      </c>
      <c r="M584" s="127">
        <v>50</v>
      </c>
      <c r="N584" s="127"/>
      <c r="O584" s="127"/>
      <c r="P584" s="93"/>
      <c r="Q584" s="93"/>
      <c r="R584" s="93"/>
      <c r="S584" s="93"/>
      <c r="T584" s="93"/>
      <c r="U584" s="93"/>
      <c r="V584" s="93"/>
      <c r="W584" s="93"/>
      <c r="X584" s="93"/>
      <c r="Y584" s="93"/>
      <c r="Z584" s="133">
        <v>0.03</v>
      </c>
      <c r="AA584" s="133">
        <v>7.0000000000000007E-2</v>
      </c>
      <c r="AB584" s="133">
        <v>0.04</v>
      </c>
      <c r="AC584" s="133"/>
      <c r="AD584" s="133"/>
      <c r="AE584" s="133"/>
      <c r="AF584" s="133"/>
      <c r="AG584" s="133">
        <v>0.03</v>
      </c>
      <c r="AH584" s="133"/>
      <c r="AI584" s="133"/>
      <c r="AJ584" s="133"/>
      <c r="AK584" s="133"/>
      <c r="AL584" s="133"/>
      <c r="AM584" s="133"/>
      <c r="AN584" s="133">
        <v>0.02</v>
      </c>
      <c r="AO584" s="133"/>
      <c r="AP584" s="133"/>
      <c r="AQ584" s="133"/>
      <c r="AR584" s="133"/>
      <c r="AS584" s="133"/>
      <c r="AT584" s="133"/>
      <c r="AU584" s="133"/>
      <c r="AV584" s="133"/>
      <c r="AW584" s="133"/>
      <c r="AX584" s="133"/>
      <c r="AY584" s="133"/>
      <c r="AZ584" s="133"/>
      <c r="BA584" s="133"/>
      <c r="BB584" s="133"/>
      <c r="BC584" s="133"/>
      <c r="BD584" s="133"/>
      <c r="BE584" s="133"/>
      <c r="BF584" s="133"/>
      <c r="BG584" s="133"/>
      <c r="BH584" s="84"/>
      <c r="BI584" s="84"/>
      <c r="BJ584" s="78"/>
      <c r="BK584" s="84"/>
      <c r="BL584" s="44"/>
      <c r="BM584" s="79"/>
      <c r="BN584" s="75"/>
      <c r="BO584" s="75"/>
    </row>
    <row r="585" spans="1:67" s="4" customFormat="1" ht="31.2" x14ac:dyDescent="0.3">
      <c r="A585" s="220"/>
      <c r="B585" s="42" t="s">
        <v>1128</v>
      </c>
      <c r="C585" s="53" t="s">
        <v>45</v>
      </c>
      <c r="D585" s="134">
        <v>0.3</v>
      </c>
      <c r="E585" s="134"/>
      <c r="F585" s="134">
        <v>0.3</v>
      </c>
      <c r="G585" s="134">
        <v>0.3</v>
      </c>
      <c r="H585" s="134"/>
      <c r="I585" s="134"/>
      <c r="J585" s="134"/>
      <c r="K585" s="54" t="s">
        <v>71</v>
      </c>
      <c r="L585" s="152" t="s">
        <v>67</v>
      </c>
      <c r="M585" s="53">
        <v>46</v>
      </c>
      <c r="N585" s="53"/>
      <c r="O585" s="53"/>
      <c r="P585" s="133"/>
      <c r="Q585" s="133"/>
      <c r="R585" s="133"/>
      <c r="S585" s="133"/>
      <c r="T585" s="133"/>
      <c r="U585" s="133"/>
      <c r="V585" s="133"/>
      <c r="W585" s="133"/>
      <c r="X585" s="133"/>
      <c r="Y585" s="133"/>
      <c r="Z585" s="133"/>
      <c r="AA585" s="133"/>
      <c r="AB585" s="133"/>
      <c r="AC585" s="133"/>
      <c r="AD585" s="133"/>
      <c r="AE585" s="93"/>
      <c r="AF585" s="133"/>
      <c r="AG585" s="133"/>
      <c r="AH585" s="133"/>
      <c r="AI585" s="133"/>
      <c r="AJ585" s="133"/>
      <c r="AK585" s="133"/>
      <c r="AL585" s="133"/>
      <c r="AM585" s="133"/>
      <c r="AN585" s="133"/>
      <c r="AO585" s="133"/>
      <c r="AP585" s="133"/>
      <c r="AQ585" s="133"/>
      <c r="AR585" s="133"/>
      <c r="AS585" s="133"/>
      <c r="AT585" s="133"/>
      <c r="AU585" s="133"/>
      <c r="AV585" s="133"/>
      <c r="AW585" s="133"/>
      <c r="AX585" s="133"/>
      <c r="AY585" s="133"/>
      <c r="AZ585" s="133"/>
      <c r="BA585" s="133"/>
      <c r="BB585" s="133"/>
      <c r="BC585" s="133"/>
      <c r="BD585" s="133"/>
      <c r="BE585" s="133"/>
      <c r="BF585" s="133"/>
      <c r="BG585" s="133"/>
      <c r="BH585" s="84"/>
      <c r="BI585" s="84"/>
      <c r="BJ585" s="78"/>
      <c r="BK585" s="84"/>
      <c r="BL585" s="44"/>
      <c r="BM585" s="79"/>
      <c r="BN585" s="75"/>
      <c r="BO585" s="75"/>
    </row>
    <row r="586" spans="1:67" s="4" customFormat="1" ht="62.4" x14ac:dyDescent="0.3">
      <c r="A586" s="220"/>
      <c r="B586" s="42" t="s">
        <v>1130</v>
      </c>
      <c r="C586" s="133" t="s">
        <v>45</v>
      </c>
      <c r="D586" s="133">
        <v>0.15</v>
      </c>
      <c r="E586" s="133"/>
      <c r="F586" s="133">
        <v>0.15</v>
      </c>
      <c r="G586" s="133">
        <v>0.05</v>
      </c>
      <c r="H586" s="133"/>
      <c r="I586" s="133"/>
      <c r="J586" s="133">
        <v>0.1</v>
      </c>
      <c r="K586" s="54" t="s">
        <v>1129</v>
      </c>
      <c r="L586" s="54" t="s">
        <v>261</v>
      </c>
      <c r="M586" s="133">
        <v>28</v>
      </c>
      <c r="N586" s="133"/>
      <c r="O586" s="133"/>
      <c r="P586" s="53"/>
      <c r="Q586" s="93"/>
      <c r="R586" s="93"/>
      <c r="S586" s="93"/>
      <c r="T586" s="93"/>
      <c r="U586" s="93"/>
      <c r="V586" s="93"/>
      <c r="W586" s="93"/>
      <c r="X586" s="93"/>
      <c r="Y586" s="93"/>
      <c r="Z586" s="93"/>
      <c r="AA586" s="93"/>
      <c r="AB586" s="93"/>
      <c r="AC586" s="93"/>
      <c r="AD586" s="93"/>
      <c r="AE586" s="93"/>
      <c r="AF586" s="93"/>
      <c r="AG586" s="93"/>
      <c r="AH586" s="93"/>
      <c r="AI586" s="93"/>
      <c r="AJ586" s="93"/>
      <c r="AK586" s="93"/>
      <c r="AL586" s="93"/>
      <c r="AM586" s="93"/>
      <c r="AN586" s="93"/>
      <c r="AO586" s="93"/>
      <c r="AP586" s="93"/>
      <c r="AQ586" s="93"/>
      <c r="AR586" s="93"/>
      <c r="AS586" s="93"/>
      <c r="AT586" s="93"/>
      <c r="AU586" s="93"/>
      <c r="AV586" s="93"/>
      <c r="AW586" s="93"/>
      <c r="AX586" s="93"/>
      <c r="AY586" s="93"/>
      <c r="AZ586" s="93"/>
      <c r="BA586" s="93"/>
      <c r="BB586" s="93"/>
      <c r="BC586" s="93"/>
      <c r="BD586" s="93"/>
      <c r="BE586" s="93"/>
      <c r="BF586" s="93">
        <v>0.1</v>
      </c>
      <c r="BG586" s="84"/>
      <c r="BH586" s="84"/>
      <c r="BI586" s="84"/>
      <c r="BJ586" s="78"/>
      <c r="BK586" s="84"/>
      <c r="BL586" s="44"/>
      <c r="BM586" s="79"/>
      <c r="BN586" s="75"/>
      <c r="BO586" s="75"/>
    </row>
    <row r="587" spans="1:67" s="4" customFormat="1" ht="31.2" x14ac:dyDescent="0.3">
      <c r="A587" s="220"/>
      <c r="B587" s="42" t="s">
        <v>1133</v>
      </c>
      <c r="C587" s="180" t="s">
        <v>45</v>
      </c>
      <c r="D587" s="180">
        <v>0.18</v>
      </c>
      <c r="E587" s="180"/>
      <c r="F587" s="180">
        <v>0.18</v>
      </c>
      <c r="G587" s="180"/>
      <c r="H587" s="180">
        <f>SUM(P587:R587)</f>
        <v>0</v>
      </c>
      <c r="I587" s="180"/>
      <c r="J587" s="180">
        <f>SUM(V587:BG587)</f>
        <v>0.18</v>
      </c>
      <c r="K587" s="175" t="s">
        <v>1131</v>
      </c>
      <c r="L587" s="193" t="s">
        <v>125</v>
      </c>
      <c r="M587" s="182" t="s">
        <v>1132</v>
      </c>
      <c r="N587" s="182"/>
      <c r="O587" s="182"/>
      <c r="P587" s="180"/>
      <c r="Q587" s="180"/>
      <c r="R587" s="180"/>
      <c r="S587" s="180"/>
      <c r="T587" s="180"/>
      <c r="U587" s="180"/>
      <c r="V587" s="180"/>
      <c r="W587" s="180"/>
      <c r="X587" s="180">
        <v>0.18</v>
      </c>
      <c r="Y587" s="180"/>
      <c r="Z587" s="180"/>
      <c r="AA587" s="180"/>
      <c r="AB587" s="180"/>
      <c r="AC587" s="180"/>
      <c r="AD587" s="180"/>
      <c r="AE587" s="180"/>
      <c r="AF587" s="180"/>
      <c r="AG587" s="180"/>
      <c r="AH587" s="180"/>
      <c r="AI587" s="180"/>
      <c r="AJ587" s="180"/>
      <c r="AK587" s="180"/>
      <c r="AL587" s="180"/>
      <c r="AM587" s="180"/>
      <c r="AN587" s="180"/>
      <c r="AO587" s="180"/>
      <c r="AP587" s="180"/>
      <c r="AQ587" s="180"/>
      <c r="AR587" s="180"/>
      <c r="AS587" s="180"/>
      <c r="AT587" s="180"/>
      <c r="AU587" s="180"/>
      <c r="AV587" s="180"/>
      <c r="AW587" s="180"/>
      <c r="AX587" s="180"/>
      <c r="AY587" s="180"/>
      <c r="AZ587" s="180"/>
      <c r="BA587" s="180"/>
      <c r="BB587" s="180"/>
      <c r="BC587" s="180"/>
      <c r="BD587" s="180"/>
      <c r="BE587" s="180"/>
      <c r="BF587" s="180"/>
      <c r="BG587" s="180"/>
      <c r="BH587" s="84"/>
      <c r="BI587" s="84"/>
      <c r="BJ587" s="78"/>
      <c r="BK587" s="84"/>
      <c r="BL587" s="44"/>
      <c r="BM587" s="79"/>
      <c r="BN587" s="75"/>
      <c r="BO587" s="75"/>
    </row>
    <row r="588" spans="1:67" s="4" customFormat="1" ht="46.8" x14ac:dyDescent="0.3">
      <c r="A588" s="220"/>
      <c r="B588" s="42" t="s">
        <v>1134</v>
      </c>
      <c r="C588" s="180" t="s">
        <v>45</v>
      </c>
      <c r="D588" s="180">
        <v>0.12</v>
      </c>
      <c r="E588" s="180"/>
      <c r="F588" s="180">
        <v>0.12</v>
      </c>
      <c r="G588" s="180">
        <v>0.03</v>
      </c>
      <c r="H588" s="180"/>
      <c r="I588" s="180"/>
      <c r="J588" s="180">
        <f>SUM(X588:BG588)</f>
        <v>0.09</v>
      </c>
      <c r="K588" s="124" t="s">
        <v>1135</v>
      </c>
      <c r="L588" s="129" t="s">
        <v>347</v>
      </c>
      <c r="M588" s="127">
        <v>27</v>
      </c>
      <c r="N588" s="127"/>
      <c r="O588" s="127"/>
      <c r="P588" s="93"/>
      <c r="Q588" s="93"/>
      <c r="R588" s="93"/>
      <c r="S588" s="93"/>
      <c r="T588" s="93"/>
      <c r="U588" s="93"/>
      <c r="V588" s="93"/>
      <c r="W588" s="93"/>
      <c r="X588" s="93">
        <v>0.03</v>
      </c>
      <c r="Y588" s="93"/>
      <c r="Z588" s="93"/>
      <c r="AA588" s="93"/>
      <c r="AB588" s="93"/>
      <c r="AC588" s="93"/>
      <c r="AD588" s="93"/>
      <c r="AE588" s="93"/>
      <c r="AF588" s="93"/>
      <c r="AG588" s="93"/>
      <c r="AH588" s="93"/>
      <c r="AI588" s="93"/>
      <c r="AJ588" s="93"/>
      <c r="AK588" s="93"/>
      <c r="AL588" s="93"/>
      <c r="AM588" s="93"/>
      <c r="AN588" s="93"/>
      <c r="AO588" s="93"/>
      <c r="AP588" s="93"/>
      <c r="AQ588" s="93"/>
      <c r="AR588" s="93">
        <v>0.06</v>
      </c>
      <c r="AS588" s="93"/>
      <c r="AT588" s="93"/>
      <c r="AU588" s="93"/>
      <c r="AV588" s="93"/>
      <c r="AW588" s="93"/>
      <c r="AX588" s="93"/>
      <c r="AY588" s="93"/>
      <c r="AZ588" s="93"/>
      <c r="BA588" s="93"/>
      <c r="BB588" s="93"/>
      <c r="BC588" s="93"/>
      <c r="BD588" s="93"/>
      <c r="BE588" s="93"/>
      <c r="BF588" s="93"/>
      <c r="BG588" s="93"/>
      <c r="BH588" s="84"/>
      <c r="BI588" s="84"/>
      <c r="BJ588" s="78"/>
      <c r="BK588" s="84"/>
      <c r="BL588" s="44"/>
      <c r="BM588" s="79"/>
      <c r="BN588" s="75"/>
      <c r="BO588" s="75"/>
    </row>
    <row r="589" spans="1:67" s="4" customFormat="1" ht="31.2" x14ac:dyDescent="0.3">
      <c r="A589" s="220"/>
      <c r="B589" s="42" t="s">
        <v>1137</v>
      </c>
      <c r="C589" s="180" t="s">
        <v>45</v>
      </c>
      <c r="D589" s="180">
        <v>0.05</v>
      </c>
      <c r="E589" s="180"/>
      <c r="F589" s="180">
        <v>0.05</v>
      </c>
      <c r="G589" s="180">
        <v>0.03</v>
      </c>
      <c r="H589" s="180"/>
      <c r="I589" s="180"/>
      <c r="J589" s="180">
        <f t="shared" ref="J589" si="74">SUM(P589:BG589)</f>
        <v>0.02</v>
      </c>
      <c r="K589" s="175" t="s">
        <v>1136</v>
      </c>
      <c r="L589" s="50" t="s">
        <v>154</v>
      </c>
      <c r="M589" s="182">
        <v>37.380000000000003</v>
      </c>
      <c r="N589" s="182"/>
      <c r="O589" s="182"/>
      <c r="P589" s="180"/>
      <c r="Q589" s="180"/>
      <c r="R589" s="180"/>
      <c r="S589" s="180"/>
      <c r="T589" s="180"/>
      <c r="U589" s="180"/>
      <c r="V589" s="180"/>
      <c r="W589" s="180"/>
      <c r="X589" s="180"/>
      <c r="Y589" s="180"/>
      <c r="Z589" s="180">
        <v>0.02</v>
      </c>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0"/>
      <c r="AY589" s="180"/>
      <c r="AZ589" s="180"/>
      <c r="BA589" s="180"/>
      <c r="BB589" s="180"/>
      <c r="BC589" s="180"/>
      <c r="BD589" s="180"/>
      <c r="BE589" s="180"/>
      <c r="BF589" s="180"/>
      <c r="BG589" s="180"/>
      <c r="BH589" s="84"/>
      <c r="BI589" s="84"/>
      <c r="BJ589" s="78"/>
      <c r="BK589" s="84"/>
      <c r="BL589" s="44"/>
      <c r="BM589" s="79"/>
      <c r="BN589" s="75"/>
      <c r="BO589" s="75"/>
    </row>
    <row r="590" spans="1:67" s="4" customFormat="1" ht="31.2" x14ac:dyDescent="0.3">
      <c r="A590" s="220"/>
      <c r="B590" s="42" t="s">
        <v>1138</v>
      </c>
      <c r="C590" s="180" t="s">
        <v>45</v>
      </c>
      <c r="D590" s="180">
        <v>0.03</v>
      </c>
      <c r="E590" s="180"/>
      <c r="F590" s="180">
        <v>0.03</v>
      </c>
      <c r="G590" s="180"/>
      <c r="H590" s="180"/>
      <c r="I590" s="180"/>
      <c r="J590" s="180">
        <v>0.03</v>
      </c>
      <c r="K590" s="129" t="s">
        <v>859</v>
      </c>
      <c r="L590" s="54" t="s">
        <v>688</v>
      </c>
      <c r="M590" s="194"/>
      <c r="N590" s="194"/>
      <c r="O590" s="194"/>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c r="BA590" s="181"/>
      <c r="BB590" s="181"/>
      <c r="BC590" s="181"/>
      <c r="BD590" s="181"/>
      <c r="BE590" s="181">
        <v>0.03</v>
      </c>
      <c r="BF590" s="181"/>
      <c r="BG590" s="181"/>
      <c r="BH590" s="84"/>
      <c r="BI590" s="84"/>
      <c r="BJ590" s="78"/>
      <c r="BK590" s="84"/>
      <c r="BL590" s="44"/>
      <c r="BM590" s="79"/>
      <c r="BN590" s="75"/>
      <c r="BO590" s="75"/>
    </row>
    <row r="591" spans="1:67" s="4" customFormat="1" ht="46.8" x14ac:dyDescent="0.3">
      <c r="A591" s="220"/>
      <c r="B591" s="42" t="s">
        <v>1140</v>
      </c>
      <c r="C591" s="180" t="s">
        <v>45</v>
      </c>
      <c r="D591" s="41">
        <v>0.14000000000000001</v>
      </c>
      <c r="E591" s="41"/>
      <c r="F591" s="41">
        <v>0.14000000000000001</v>
      </c>
      <c r="G591" s="180">
        <v>0.03</v>
      </c>
      <c r="H591" s="180"/>
      <c r="I591" s="180"/>
      <c r="J591" s="180">
        <f>SUM(V591:BG591)</f>
        <v>0.11</v>
      </c>
      <c r="K591" s="129" t="s">
        <v>1139</v>
      </c>
      <c r="L591" s="54" t="s">
        <v>364</v>
      </c>
      <c r="M591" s="127">
        <v>19</v>
      </c>
      <c r="N591" s="127"/>
      <c r="O591" s="127"/>
      <c r="P591" s="180"/>
      <c r="Q591" s="180"/>
      <c r="R591" s="180"/>
      <c r="S591" s="180"/>
      <c r="T591" s="180"/>
      <c r="U591" s="180"/>
      <c r="V591" s="180"/>
      <c r="W591" s="180"/>
      <c r="X591" s="179"/>
      <c r="Y591" s="180">
        <v>0.04</v>
      </c>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0"/>
      <c r="AY591" s="180"/>
      <c r="AZ591" s="180"/>
      <c r="BA591" s="180"/>
      <c r="BB591" s="180"/>
      <c r="BC591" s="180"/>
      <c r="BD591" s="180">
        <v>0.04</v>
      </c>
      <c r="BE591" s="180">
        <v>0.03</v>
      </c>
      <c r="BF591" s="180"/>
      <c r="BG591" s="180"/>
      <c r="BH591" s="84"/>
      <c r="BI591" s="84"/>
      <c r="BJ591" s="78"/>
      <c r="BK591" s="84"/>
      <c r="BL591" s="44"/>
      <c r="BM591" s="79"/>
      <c r="BN591" s="75"/>
      <c r="BO591" s="75"/>
    </row>
    <row r="592" spans="1:67" s="4" customFormat="1" ht="31.2" x14ac:dyDescent="0.3">
      <c r="A592" s="220"/>
      <c r="B592" s="42" t="s">
        <v>1141</v>
      </c>
      <c r="C592" s="39" t="s">
        <v>45</v>
      </c>
      <c r="D592" s="39">
        <v>0.08</v>
      </c>
      <c r="E592" s="39"/>
      <c r="F592" s="39">
        <v>0.08</v>
      </c>
      <c r="G592" s="39"/>
      <c r="H592" s="39"/>
      <c r="I592" s="39"/>
      <c r="J592" s="39">
        <f t="shared" ref="J592" si="75">SUM(P592:BG592)</f>
        <v>0.08</v>
      </c>
      <c r="K592" s="175" t="s">
        <v>187</v>
      </c>
      <c r="L592" s="50" t="s">
        <v>179</v>
      </c>
      <c r="M592" s="182">
        <v>70</v>
      </c>
      <c r="N592" s="182"/>
      <c r="O592" s="182"/>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39"/>
      <c r="BD592" s="39"/>
      <c r="BE592" s="39">
        <v>0.08</v>
      </c>
      <c r="BF592" s="39"/>
      <c r="BG592" s="39"/>
      <c r="BH592" s="84"/>
      <c r="BI592" s="84"/>
      <c r="BJ592" s="78"/>
      <c r="BK592" s="84"/>
      <c r="BL592" s="44"/>
      <c r="BM592" s="79"/>
      <c r="BN592" s="75"/>
      <c r="BO592" s="75"/>
    </row>
    <row r="593" spans="1:67" s="4" customFormat="1" ht="46.8" x14ac:dyDescent="0.3">
      <c r="A593" s="220"/>
      <c r="B593" s="42" t="s">
        <v>1143</v>
      </c>
      <c r="C593" s="49" t="s">
        <v>45</v>
      </c>
      <c r="D593" s="195">
        <v>0.12</v>
      </c>
      <c r="E593" s="195"/>
      <c r="F593" s="195">
        <v>0.12</v>
      </c>
      <c r="G593" s="124"/>
      <c r="H593" s="124"/>
      <c r="I593" s="124"/>
      <c r="J593" s="119">
        <f>SUM(P593:BE593)</f>
        <v>0.12</v>
      </c>
      <c r="K593" s="124" t="s">
        <v>1142</v>
      </c>
      <c r="L593" s="124" t="s">
        <v>395</v>
      </c>
      <c r="M593" s="49">
        <v>31</v>
      </c>
      <c r="N593" s="49"/>
      <c r="O593" s="49"/>
      <c r="P593" s="124"/>
      <c r="Q593" s="124"/>
      <c r="R593" s="124"/>
      <c r="S593" s="124"/>
      <c r="T593" s="124"/>
      <c r="U593" s="124"/>
      <c r="V593" s="124"/>
      <c r="W593" s="124"/>
      <c r="X593" s="124"/>
      <c r="Y593" s="124"/>
      <c r="Z593" s="124">
        <v>0.06</v>
      </c>
      <c r="AA593" s="124"/>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19"/>
      <c r="BC593" s="119"/>
      <c r="BD593" s="119"/>
      <c r="BE593" s="119">
        <v>0.06</v>
      </c>
      <c r="BF593" s="119"/>
      <c r="BG593" s="119"/>
      <c r="BH593" s="84"/>
      <c r="BI593" s="84"/>
      <c r="BJ593" s="78"/>
      <c r="BK593" s="84"/>
      <c r="BL593" s="44"/>
      <c r="BM593" s="79"/>
      <c r="BN593" s="75"/>
      <c r="BO593" s="75"/>
    </row>
    <row r="594" spans="1:67" s="4" customFormat="1" ht="31.2" x14ac:dyDescent="0.3">
      <c r="A594" s="220"/>
      <c r="B594" s="42" t="s">
        <v>1146</v>
      </c>
      <c r="C594" s="180" t="s">
        <v>45</v>
      </c>
      <c r="D594" s="142">
        <v>0.05</v>
      </c>
      <c r="E594" s="142"/>
      <c r="F594" s="142">
        <v>0.05</v>
      </c>
      <c r="G594" s="142"/>
      <c r="H594" s="179"/>
      <c r="I594" s="179"/>
      <c r="J594" s="180">
        <f t="shared" ref="J594" si="76">SUM(P594:BG594)</f>
        <v>0.05</v>
      </c>
      <c r="K594" s="175" t="s">
        <v>1144</v>
      </c>
      <c r="L594" s="50" t="s">
        <v>208</v>
      </c>
      <c r="M594" s="143" t="s">
        <v>1145</v>
      </c>
      <c r="N594" s="143"/>
      <c r="O594" s="143"/>
      <c r="P594" s="142"/>
      <c r="Q594" s="179"/>
      <c r="R594" s="179"/>
      <c r="S594" s="179"/>
      <c r="T594" s="179"/>
      <c r="U594" s="179"/>
      <c r="V594" s="179"/>
      <c r="W594" s="179"/>
      <c r="X594" s="179"/>
      <c r="Y594" s="179"/>
      <c r="Z594" s="179"/>
      <c r="AA594" s="180">
        <v>0.05</v>
      </c>
      <c r="AB594" s="179"/>
      <c r="AC594" s="179"/>
      <c r="AD594" s="179"/>
      <c r="AE594" s="179"/>
      <c r="AF594" s="179"/>
      <c r="AG594" s="179"/>
      <c r="AH594" s="179"/>
      <c r="AI594" s="179"/>
      <c r="AJ594" s="179"/>
      <c r="AK594" s="179"/>
      <c r="AL594" s="179"/>
      <c r="AM594" s="179"/>
      <c r="AN594" s="179"/>
      <c r="AO594" s="179"/>
      <c r="AP594" s="179"/>
      <c r="AQ594" s="179"/>
      <c r="AR594" s="179"/>
      <c r="AS594" s="179"/>
      <c r="AT594" s="179"/>
      <c r="AU594" s="179"/>
      <c r="AV594" s="179"/>
      <c r="AW594" s="179"/>
      <c r="AX594" s="179"/>
      <c r="AY594" s="179"/>
      <c r="AZ594" s="179"/>
      <c r="BA594" s="179"/>
      <c r="BB594" s="179"/>
      <c r="BC594" s="179"/>
      <c r="BD594" s="179"/>
      <c r="BE594" s="179"/>
      <c r="BF594" s="179"/>
      <c r="BG594" s="179"/>
      <c r="BH594" s="84"/>
      <c r="BI594" s="84"/>
      <c r="BJ594" s="78"/>
      <c r="BK594" s="84"/>
      <c r="BL594" s="44"/>
      <c r="BM594" s="79"/>
      <c r="BN594" s="75"/>
      <c r="BO594" s="75"/>
    </row>
    <row r="595" spans="1:67" s="4" customFormat="1" ht="31.2" x14ac:dyDescent="0.3">
      <c r="A595" s="220"/>
      <c r="B595" s="42" t="s">
        <v>1148</v>
      </c>
      <c r="C595" s="133" t="s">
        <v>45</v>
      </c>
      <c r="D595" s="133">
        <v>0.2</v>
      </c>
      <c r="E595" s="133"/>
      <c r="F595" s="133">
        <v>0.2</v>
      </c>
      <c r="G595" s="149">
        <v>0.2</v>
      </c>
      <c r="H595" s="149"/>
      <c r="I595" s="55"/>
      <c r="J595" s="149"/>
      <c r="K595" s="54" t="s">
        <v>1147</v>
      </c>
      <c r="L595" s="54" t="s">
        <v>91</v>
      </c>
      <c r="M595" s="48">
        <v>8</v>
      </c>
      <c r="N595" s="44"/>
      <c r="O595" s="44"/>
      <c r="P595" s="105"/>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c r="BJ595" s="78"/>
      <c r="BK595" s="84"/>
      <c r="BL595" s="44"/>
      <c r="BM595" s="79"/>
      <c r="BN595" s="75"/>
      <c r="BO595" s="75"/>
    </row>
    <row r="596" spans="1:67" s="4" customFormat="1" ht="46.8" x14ac:dyDescent="0.3">
      <c r="A596" s="220"/>
      <c r="B596" s="42" t="s">
        <v>1150</v>
      </c>
      <c r="C596" s="133" t="s">
        <v>45</v>
      </c>
      <c r="D596" s="133">
        <v>0.19</v>
      </c>
      <c r="E596" s="133"/>
      <c r="F596" s="133">
        <v>0.19</v>
      </c>
      <c r="G596" s="133">
        <v>0.06</v>
      </c>
      <c r="H596" s="133"/>
      <c r="I596" s="133"/>
      <c r="J596" s="133">
        <v>0.13</v>
      </c>
      <c r="K596" s="54" t="s">
        <v>1149</v>
      </c>
      <c r="L596" s="54" t="s">
        <v>280</v>
      </c>
      <c r="M596" s="133">
        <v>7</v>
      </c>
      <c r="N596" s="133"/>
      <c r="O596" s="42" t="s">
        <v>1195</v>
      </c>
      <c r="P596" s="93"/>
      <c r="Q596" s="93"/>
      <c r="R596" s="93"/>
      <c r="S596" s="93"/>
      <c r="T596" s="93"/>
      <c r="U596" s="93"/>
      <c r="V596" s="93">
        <v>0.1</v>
      </c>
      <c r="W596" s="93"/>
      <c r="X596" s="93"/>
      <c r="Y596" s="93"/>
      <c r="Z596" s="93">
        <v>0.03</v>
      </c>
      <c r="AA596" s="93"/>
      <c r="AB596" s="93"/>
      <c r="AC596" s="93"/>
      <c r="AD596" s="93"/>
      <c r="AE596" s="93"/>
      <c r="AF596" s="93"/>
      <c r="AG596" s="93"/>
      <c r="AH596" s="93"/>
      <c r="AI596" s="93"/>
      <c r="AJ596" s="93"/>
      <c r="AK596" s="93"/>
      <c r="AL596" s="93"/>
      <c r="AM596" s="93"/>
      <c r="AN596" s="93"/>
      <c r="AO596" s="93"/>
      <c r="AP596" s="93"/>
      <c r="AQ596" s="93"/>
      <c r="AR596" s="93"/>
      <c r="AS596" s="93"/>
      <c r="AT596" s="93"/>
      <c r="AU596" s="93"/>
      <c r="AV596" s="93"/>
      <c r="AW596" s="93"/>
      <c r="AX596" s="93"/>
      <c r="AY596" s="93"/>
      <c r="AZ596" s="93"/>
      <c r="BA596" s="93"/>
      <c r="BB596" s="93"/>
      <c r="BC596" s="93"/>
      <c r="BD596" s="93"/>
      <c r="BE596" s="93"/>
      <c r="BF596" s="93"/>
      <c r="BG596" s="93"/>
      <c r="BH596" s="84"/>
      <c r="BI596" s="84"/>
      <c r="BJ596" s="78"/>
      <c r="BK596" s="84"/>
      <c r="BL596" s="44"/>
      <c r="BM596" s="79"/>
      <c r="BN596" s="75"/>
      <c r="BO596" s="75"/>
    </row>
    <row r="597" spans="1:67" s="4" customFormat="1" ht="46.8" x14ac:dyDescent="0.3">
      <c r="A597" s="220"/>
      <c r="B597" s="42" t="s">
        <v>1152</v>
      </c>
      <c r="C597" s="133" t="s">
        <v>45</v>
      </c>
      <c r="D597" s="133">
        <v>0.22</v>
      </c>
      <c r="E597" s="133"/>
      <c r="F597" s="133">
        <v>0.22</v>
      </c>
      <c r="G597" s="133">
        <v>7.0000000000000007E-2</v>
      </c>
      <c r="H597" s="196"/>
      <c r="I597" s="55"/>
      <c r="J597" s="133">
        <v>0.15</v>
      </c>
      <c r="K597" s="54" t="s">
        <v>1151</v>
      </c>
      <c r="L597" s="197" t="s">
        <v>93</v>
      </c>
      <c r="M597" s="133">
        <v>30</v>
      </c>
      <c r="N597" s="133"/>
      <c r="O597" s="42" t="s">
        <v>1196</v>
      </c>
      <c r="P597" s="133">
        <f>F597-SUM(G597:J597)</f>
        <v>0</v>
      </c>
      <c r="Q597" s="192"/>
      <c r="R597" s="192"/>
      <c r="S597" s="192"/>
      <c r="T597" s="192"/>
      <c r="U597" s="192"/>
      <c r="V597" s="192"/>
      <c r="W597" s="192"/>
      <c r="X597" s="192">
        <v>0.04</v>
      </c>
      <c r="Y597" s="192"/>
      <c r="Z597" s="192">
        <v>0.03</v>
      </c>
      <c r="AA597" s="192"/>
      <c r="AB597" s="192"/>
      <c r="AC597" s="192"/>
      <c r="AD597" s="192"/>
      <c r="AE597" s="192"/>
      <c r="AF597" s="192"/>
      <c r="AG597" s="192"/>
      <c r="AH597" s="192"/>
      <c r="AI597" s="192"/>
      <c r="AJ597" s="192"/>
      <c r="AK597" s="192"/>
      <c r="AL597" s="192"/>
      <c r="AM597" s="192"/>
      <c r="AN597" s="192"/>
      <c r="AO597" s="192"/>
      <c r="AP597" s="192"/>
      <c r="AQ597" s="192"/>
      <c r="AR597" s="192"/>
      <c r="AS597" s="192"/>
      <c r="AT597" s="192"/>
      <c r="AU597" s="192"/>
      <c r="AV597" s="192"/>
      <c r="AW597" s="192"/>
      <c r="AX597" s="192"/>
      <c r="AY597" s="192"/>
      <c r="AZ597" s="192"/>
      <c r="BA597" s="192"/>
      <c r="BB597" s="192"/>
      <c r="BC597" s="192"/>
      <c r="BD597" s="192"/>
      <c r="BE597" s="192">
        <v>0.08</v>
      </c>
      <c r="BF597" s="84"/>
      <c r="BG597" s="84"/>
      <c r="BH597" s="84"/>
      <c r="BI597" s="84"/>
      <c r="BJ597" s="78"/>
      <c r="BK597" s="84"/>
      <c r="BL597" s="44"/>
      <c r="BM597" s="79"/>
      <c r="BN597" s="75"/>
      <c r="BO597" s="75"/>
    </row>
    <row r="598" spans="1:67" s="4" customFormat="1" ht="31.2" x14ac:dyDescent="0.3">
      <c r="A598" s="220"/>
      <c r="B598" s="42" t="s">
        <v>1153</v>
      </c>
      <c r="C598" s="127" t="s">
        <v>45</v>
      </c>
      <c r="D598" s="93">
        <v>0.14000000000000001</v>
      </c>
      <c r="E598" s="127"/>
      <c r="F598" s="133">
        <v>0.14000000000000001</v>
      </c>
      <c r="G598" s="133">
        <v>0.06</v>
      </c>
      <c r="H598" s="133"/>
      <c r="I598" s="133"/>
      <c r="J598" s="133">
        <v>0.08</v>
      </c>
      <c r="K598" s="54" t="s">
        <v>285</v>
      </c>
      <c r="L598" s="54" t="s">
        <v>285</v>
      </c>
      <c r="M598" s="127">
        <v>17</v>
      </c>
      <c r="N598" s="127"/>
      <c r="O598" s="127"/>
      <c r="P598" s="93"/>
      <c r="Q598" s="93"/>
      <c r="R598" s="93"/>
      <c r="S598" s="93"/>
      <c r="T598" s="93"/>
      <c r="U598" s="93"/>
      <c r="V598" s="93"/>
      <c r="W598" s="93"/>
      <c r="X598" s="93"/>
      <c r="Y598" s="93"/>
      <c r="Z598" s="93"/>
      <c r="AA598" s="93">
        <v>0.04</v>
      </c>
      <c r="AB598" s="93"/>
      <c r="AC598" s="93"/>
      <c r="AD598" s="93"/>
      <c r="AE598" s="93"/>
      <c r="AF598" s="93"/>
      <c r="AG598" s="93"/>
      <c r="AH598" s="93"/>
      <c r="AI598" s="93"/>
      <c r="AJ598" s="93"/>
      <c r="AK598" s="93"/>
      <c r="AL598" s="93"/>
      <c r="AM598" s="93"/>
      <c r="AN598" s="93"/>
      <c r="AO598" s="93"/>
      <c r="AP598" s="93"/>
      <c r="AQ598" s="93"/>
      <c r="AR598" s="93"/>
      <c r="AS598" s="93"/>
      <c r="AT598" s="93"/>
      <c r="AU598" s="93"/>
      <c r="AV598" s="93"/>
      <c r="AW598" s="93"/>
      <c r="AX598" s="93"/>
      <c r="AY598" s="93"/>
      <c r="AZ598" s="93"/>
      <c r="BA598" s="93"/>
      <c r="BB598" s="93"/>
      <c r="BC598" s="93"/>
      <c r="BD598" s="93"/>
      <c r="BE598" s="93">
        <v>0.04</v>
      </c>
      <c r="BF598" s="93"/>
      <c r="BG598" s="93"/>
      <c r="BH598" s="84"/>
      <c r="BI598" s="84"/>
      <c r="BJ598" s="78"/>
      <c r="BK598" s="84"/>
      <c r="BL598" s="44"/>
      <c r="BM598" s="79"/>
      <c r="BN598" s="75"/>
      <c r="BO598" s="75"/>
    </row>
    <row r="599" spans="1:67" s="4" customFormat="1" ht="31.2" x14ac:dyDescent="0.3">
      <c r="A599" s="220"/>
      <c r="B599" s="42" t="s">
        <v>1154</v>
      </c>
      <c r="C599" s="44" t="s">
        <v>45</v>
      </c>
      <c r="D599" s="44">
        <v>0.06</v>
      </c>
      <c r="E599" s="44"/>
      <c r="F599" s="133">
        <v>0.06</v>
      </c>
      <c r="G599" s="133"/>
      <c r="H599" s="133"/>
      <c r="I599" s="133"/>
      <c r="J599" s="133">
        <f>SUM(Z599:BG599)</f>
        <v>0.06</v>
      </c>
      <c r="K599" s="42" t="s">
        <v>390</v>
      </c>
      <c r="L599" s="42" t="s">
        <v>377</v>
      </c>
      <c r="M599" s="43">
        <v>28</v>
      </c>
      <c r="N599" s="43"/>
      <c r="O599" s="43"/>
      <c r="P599" s="84"/>
      <c r="Q599" s="84"/>
      <c r="R599" s="84"/>
      <c r="S599" s="84"/>
      <c r="T599" s="84"/>
      <c r="U599" s="84"/>
      <c r="V599" s="84"/>
      <c r="W599" s="84"/>
      <c r="X599" s="84"/>
      <c r="Y599" s="84"/>
      <c r="Z599" s="84"/>
      <c r="AA599" s="84">
        <v>0.03</v>
      </c>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v>0.03</v>
      </c>
      <c r="BF599" s="84"/>
      <c r="BG599" s="84"/>
      <c r="BH599" s="84"/>
      <c r="BI599" s="84"/>
      <c r="BJ599" s="78"/>
      <c r="BK599" s="84"/>
      <c r="BL599" s="44"/>
      <c r="BM599" s="79"/>
      <c r="BN599" s="75"/>
      <c r="BO599" s="75"/>
    </row>
    <row r="600" spans="1:67" s="4" customFormat="1" ht="31.2" x14ac:dyDescent="0.3">
      <c r="A600" s="221"/>
      <c r="B600" s="42" t="s">
        <v>1155</v>
      </c>
      <c r="C600" s="44" t="s">
        <v>45</v>
      </c>
      <c r="D600" s="146">
        <v>0.24</v>
      </c>
      <c r="E600" s="146"/>
      <c r="F600" s="133">
        <v>0.24</v>
      </c>
      <c r="G600" s="133">
        <v>0.15</v>
      </c>
      <c r="H600" s="133"/>
      <c r="I600" s="133"/>
      <c r="J600" s="133">
        <f>SUM(P600:BG600)</f>
        <v>0.09</v>
      </c>
      <c r="K600" s="198"/>
      <c r="L600" s="144" t="s">
        <v>415</v>
      </c>
      <c r="M600" s="146">
        <v>50</v>
      </c>
      <c r="N600" s="146"/>
      <c r="O600" s="146"/>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v>0.09</v>
      </c>
      <c r="BF600" s="84"/>
      <c r="BG600" s="84"/>
      <c r="BH600" s="84"/>
      <c r="BI600" s="84"/>
      <c r="BJ600" s="78"/>
      <c r="BK600" s="84"/>
      <c r="BL600" s="44"/>
      <c r="BM600" s="79"/>
      <c r="BN600" s="75"/>
      <c r="BO600" s="75"/>
    </row>
    <row r="601" spans="1:67" s="4" customFormat="1" x14ac:dyDescent="0.3">
      <c r="A601" s="48">
        <v>2</v>
      </c>
      <c r="B601" s="42" t="s">
        <v>393</v>
      </c>
      <c r="C601" s="180" t="s">
        <v>45</v>
      </c>
      <c r="D601" s="180">
        <v>0.04</v>
      </c>
      <c r="E601" s="180"/>
      <c r="F601" s="133">
        <v>0.04</v>
      </c>
      <c r="G601" s="133"/>
      <c r="H601" s="133"/>
      <c r="I601" s="133"/>
      <c r="J601" s="133">
        <f t="shared" ref="J601" si="77">SUM(P601:BG601)</f>
        <v>0.04</v>
      </c>
      <c r="K601" s="149" t="s">
        <v>207</v>
      </c>
      <c r="L601" s="139" t="s">
        <v>208</v>
      </c>
      <c r="M601" s="182">
        <v>33</v>
      </c>
      <c r="N601" s="207">
        <v>800</v>
      </c>
      <c r="O601" s="182"/>
      <c r="P601" s="180"/>
      <c r="Q601" s="180"/>
      <c r="R601" s="180"/>
      <c r="S601" s="180"/>
      <c r="T601" s="180"/>
      <c r="U601" s="180"/>
      <c r="V601" s="180"/>
      <c r="W601" s="180"/>
      <c r="X601" s="180"/>
      <c r="Y601" s="180"/>
      <c r="Z601" s="180"/>
      <c r="AA601" s="180">
        <v>0.04</v>
      </c>
      <c r="AB601" s="180"/>
      <c r="AC601" s="180"/>
      <c r="AD601" s="180"/>
      <c r="AE601" s="180"/>
      <c r="AF601" s="180"/>
      <c r="AG601" s="180"/>
      <c r="AH601" s="180"/>
      <c r="AI601" s="180"/>
      <c r="AJ601" s="18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84"/>
      <c r="BI601" s="84"/>
      <c r="BJ601" s="78"/>
      <c r="BK601" s="84"/>
      <c r="BL601" s="44"/>
      <c r="BM601" s="79"/>
      <c r="BN601" s="75"/>
      <c r="BO601" s="75"/>
    </row>
    <row r="602" spans="1:67" s="4" customFormat="1" x14ac:dyDescent="0.3">
      <c r="A602" s="48">
        <v>3</v>
      </c>
      <c r="B602" s="42" t="s">
        <v>393</v>
      </c>
      <c r="C602" s="48" t="s">
        <v>45</v>
      </c>
      <c r="D602" s="41">
        <v>0.05</v>
      </c>
      <c r="E602" s="41"/>
      <c r="F602" s="133">
        <v>0.05</v>
      </c>
      <c r="G602" s="133"/>
      <c r="H602" s="133"/>
      <c r="I602" s="133"/>
      <c r="J602" s="133">
        <f>SUM(Z602:BG602)</f>
        <v>0.05</v>
      </c>
      <c r="K602" s="111" t="s">
        <v>380</v>
      </c>
      <c r="L602" s="111" t="s">
        <v>377</v>
      </c>
      <c r="M602" s="43">
        <v>31</v>
      </c>
      <c r="N602" s="210">
        <v>460</v>
      </c>
      <c r="O602" s="43"/>
      <c r="P602" s="111"/>
      <c r="Q602" s="84"/>
      <c r="R602" s="84"/>
      <c r="S602" s="84"/>
      <c r="T602" s="84"/>
      <c r="U602" s="84"/>
      <c r="V602" s="84"/>
      <c r="W602" s="84"/>
      <c r="X602" s="84"/>
      <c r="Y602" s="84"/>
      <c r="Z602" s="84">
        <v>0.05</v>
      </c>
      <c r="AA602" s="84"/>
      <c r="AB602" s="84"/>
      <c r="AC602" s="84"/>
      <c r="AD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c r="BD602" s="84"/>
      <c r="BE602" s="84"/>
      <c r="BF602" s="84"/>
      <c r="BG602" s="84"/>
      <c r="BH602" s="84"/>
      <c r="BI602" s="84"/>
      <c r="BJ602" s="78">
        <f t="shared" si="70"/>
        <v>0</v>
      </c>
      <c r="BK602" s="84"/>
      <c r="BL602" s="44">
        <v>29</v>
      </c>
      <c r="BM602" s="79">
        <f t="shared" si="68"/>
        <v>0</v>
      </c>
      <c r="BN602" s="75"/>
      <c r="BO602" s="75"/>
    </row>
    <row r="603" spans="1:67" x14ac:dyDescent="0.3">
      <c r="A603" s="76" t="s">
        <v>637</v>
      </c>
      <c r="B603" s="77" t="s">
        <v>638</v>
      </c>
      <c r="C603" s="80" t="s">
        <v>49</v>
      </c>
      <c r="D603" s="81">
        <f>SUM(D604:D606)</f>
        <v>2.93</v>
      </c>
      <c r="E603" s="81">
        <f t="shared" ref="E603:BH603" si="78">SUM(E604:E606)</f>
        <v>0</v>
      </c>
      <c r="F603" s="81">
        <f t="shared" si="78"/>
        <v>2.93</v>
      </c>
      <c r="G603" s="81">
        <f t="shared" si="78"/>
        <v>1.6600000000000001</v>
      </c>
      <c r="H603" s="81">
        <f t="shared" si="78"/>
        <v>0</v>
      </c>
      <c r="I603" s="81">
        <f t="shared" si="78"/>
        <v>0</v>
      </c>
      <c r="J603" s="81">
        <f t="shared" si="78"/>
        <v>1.27</v>
      </c>
      <c r="K603" s="82">
        <f t="shared" si="78"/>
        <v>0</v>
      </c>
      <c r="L603" s="82">
        <f t="shared" si="78"/>
        <v>0</v>
      </c>
      <c r="M603" s="83"/>
      <c r="N603" s="83"/>
      <c r="O603" s="83"/>
      <c r="P603" s="83">
        <f t="shared" si="78"/>
        <v>0</v>
      </c>
      <c r="Q603" s="83">
        <f t="shared" si="78"/>
        <v>0</v>
      </c>
      <c r="R603" s="83">
        <f t="shared" si="78"/>
        <v>0</v>
      </c>
      <c r="S603" s="83">
        <f t="shared" si="78"/>
        <v>0</v>
      </c>
      <c r="T603" s="83">
        <f t="shared" si="78"/>
        <v>0</v>
      </c>
      <c r="U603" s="83">
        <f t="shared" si="78"/>
        <v>0</v>
      </c>
      <c r="V603" s="83">
        <f t="shared" si="78"/>
        <v>0</v>
      </c>
      <c r="W603" s="83">
        <f t="shared" si="78"/>
        <v>0</v>
      </c>
      <c r="X603" s="83">
        <f t="shared" si="78"/>
        <v>0</v>
      </c>
      <c r="Y603" s="83">
        <f t="shared" si="78"/>
        <v>0</v>
      </c>
      <c r="Z603" s="83">
        <f t="shared" si="78"/>
        <v>0</v>
      </c>
      <c r="AA603" s="83">
        <f t="shared" si="78"/>
        <v>0</v>
      </c>
      <c r="AB603" s="83">
        <f t="shared" si="78"/>
        <v>0</v>
      </c>
      <c r="AC603" s="83">
        <f t="shared" si="78"/>
        <v>0</v>
      </c>
      <c r="AD603" s="83">
        <f t="shared" si="78"/>
        <v>0</v>
      </c>
      <c r="AE603" s="83">
        <f t="shared" si="78"/>
        <v>0</v>
      </c>
      <c r="AF603" s="83">
        <f t="shared" si="78"/>
        <v>0</v>
      </c>
      <c r="AG603" s="83">
        <f t="shared" si="78"/>
        <v>0</v>
      </c>
      <c r="AH603" s="83">
        <f t="shared" si="78"/>
        <v>0</v>
      </c>
      <c r="AI603" s="83">
        <f t="shared" si="78"/>
        <v>0</v>
      </c>
      <c r="AJ603" s="83">
        <f t="shared" si="78"/>
        <v>0</v>
      </c>
      <c r="AK603" s="83">
        <f t="shared" si="78"/>
        <v>0</v>
      </c>
      <c r="AL603" s="83">
        <f t="shared" si="78"/>
        <v>0</v>
      </c>
      <c r="AM603" s="83">
        <f t="shared" si="78"/>
        <v>0</v>
      </c>
      <c r="AN603" s="83">
        <f t="shared" si="78"/>
        <v>0</v>
      </c>
      <c r="AO603" s="83">
        <f t="shared" si="78"/>
        <v>0</v>
      </c>
      <c r="AP603" s="83">
        <f t="shared" si="78"/>
        <v>0</v>
      </c>
      <c r="AQ603" s="83">
        <f t="shared" si="78"/>
        <v>0.06</v>
      </c>
      <c r="AR603" s="83">
        <f t="shared" si="78"/>
        <v>0</v>
      </c>
      <c r="AS603" s="83">
        <f t="shared" si="78"/>
        <v>0</v>
      </c>
      <c r="AT603" s="83">
        <f t="shared" si="78"/>
        <v>0</v>
      </c>
      <c r="AU603" s="83">
        <f t="shared" si="78"/>
        <v>0</v>
      </c>
      <c r="AV603" s="83">
        <f t="shared" si="78"/>
        <v>0</v>
      </c>
      <c r="AW603" s="83">
        <f t="shared" si="78"/>
        <v>0</v>
      </c>
      <c r="AX603" s="83">
        <f t="shared" si="78"/>
        <v>0</v>
      </c>
      <c r="AY603" s="83">
        <f t="shared" si="78"/>
        <v>0</v>
      </c>
      <c r="AZ603" s="83">
        <f t="shared" si="78"/>
        <v>0</v>
      </c>
      <c r="BA603" s="83">
        <f t="shared" si="78"/>
        <v>0</v>
      </c>
      <c r="BB603" s="83">
        <f t="shared" si="78"/>
        <v>0</v>
      </c>
      <c r="BC603" s="83">
        <f t="shared" si="78"/>
        <v>0</v>
      </c>
      <c r="BD603" s="83">
        <f t="shared" si="78"/>
        <v>1.1299999999999999</v>
      </c>
      <c r="BE603" s="83">
        <f t="shared" si="78"/>
        <v>0.08</v>
      </c>
      <c r="BF603" s="83">
        <f t="shared" si="78"/>
        <v>0</v>
      </c>
      <c r="BG603" s="83">
        <f t="shared" si="78"/>
        <v>0</v>
      </c>
      <c r="BH603" s="83">
        <f t="shared" si="78"/>
        <v>0</v>
      </c>
      <c r="BI603" s="83"/>
      <c r="BJ603" s="78">
        <f t="shared" si="70"/>
        <v>0</v>
      </c>
      <c r="BK603" s="84"/>
      <c r="BL603" s="44">
        <v>32</v>
      </c>
      <c r="BM603" s="79">
        <f t="shared" si="68"/>
        <v>0</v>
      </c>
      <c r="BN603" s="75"/>
      <c r="BO603" s="75"/>
    </row>
    <row r="604" spans="1:67" s="4" customFormat="1" x14ac:dyDescent="0.3">
      <c r="A604" s="48">
        <v>1</v>
      </c>
      <c r="B604" s="42" t="s">
        <v>500</v>
      </c>
      <c r="C604" s="43" t="s">
        <v>49</v>
      </c>
      <c r="D604" s="41">
        <v>0.56000000000000005</v>
      </c>
      <c r="E604" s="41"/>
      <c r="F604" s="41">
        <v>0.56000000000000005</v>
      </c>
      <c r="G604" s="41">
        <v>0.56000000000000005</v>
      </c>
      <c r="H604" s="41"/>
      <c r="I604" s="39"/>
      <c r="J604" s="41">
        <v>0</v>
      </c>
      <c r="K604" s="42" t="s">
        <v>73</v>
      </c>
      <c r="L604" s="117" t="s">
        <v>67</v>
      </c>
      <c r="M604" s="43">
        <v>19</v>
      </c>
      <c r="N604" s="210">
        <v>461</v>
      </c>
      <c r="O604" s="43"/>
      <c r="P604" s="48"/>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78">
        <f t="shared" si="70"/>
        <v>0</v>
      </c>
      <c r="BK604" s="115"/>
      <c r="BL604" s="44">
        <v>32</v>
      </c>
      <c r="BM604" s="79">
        <f t="shared" si="68"/>
        <v>0</v>
      </c>
      <c r="BN604" s="75"/>
      <c r="BO604" s="75"/>
    </row>
    <row r="605" spans="1:67" s="4" customFormat="1" ht="31.2" x14ac:dyDescent="0.3">
      <c r="A605" s="48">
        <v>2</v>
      </c>
      <c r="B605" s="42" t="s">
        <v>501</v>
      </c>
      <c r="C605" s="48" t="s">
        <v>49</v>
      </c>
      <c r="D605" s="39">
        <v>0.13</v>
      </c>
      <c r="E605" s="39"/>
      <c r="F605" s="39">
        <f>D605</f>
        <v>0.13</v>
      </c>
      <c r="G605" s="39">
        <v>0.1</v>
      </c>
      <c r="H605" s="41"/>
      <c r="I605" s="39"/>
      <c r="J605" s="107">
        <v>0.03</v>
      </c>
      <c r="K605" s="42" t="s">
        <v>938</v>
      </c>
      <c r="L605" s="42" t="s">
        <v>81</v>
      </c>
      <c r="M605" s="48">
        <v>52</v>
      </c>
      <c r="N605" s="206">
        <v>462</v>
      </c>
      <c r="O605" s="48"/>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c r="BD605" s="84"/>
      <c r="BE605" s="84">
        <v>0.03</v>
      </c>
      <c r="BF605" s="84"/>
      <c r="BG605" s="84"/>
      <c r="BH605" s="84"/>
      <c r="BI605" s="84"/>
      <c r="BJ605" s="78">
        <f t="shared" si="70"/>
        <v>0</v>
      </c>
      <c r="BK605" s="84"/>
      <c r="BL605" s="44">
        <v>32</v>
      </c>
      <c r="BM605" s="79">
        <f t="shared" si="68"/>
        <v>0</v>
      </c>
      <c r="BN605" s="75"/>
      <c r="BO605" s="75"/>
    </row>
    <row r="606" spans="1:67" s="4" customFormat="1" x14ac:dyDescent="0.3">
      <c r="A606" s="48">
        <v>3</v>
      </c>
      <c r="B606" s="42" t="s">
        <v>442</v>
      </c>
      <c r="C606" s="48" t="s">
        <v>49</v>
      </c>
      <c r="D606" s="39">
        <f>0.79+1.45</f>
        <v>2.2400000000000002</v>
      </c>
      <c r="E606" s="39"/>
      <c r="F606" s="39">
        <v>2.2400000000000002</v>
      </c>
      <c r="G606" s="39">
        <v>1</v>
      </c>
      <c r="H606" s="39"/>
      <c r="I606" s="39"/>
      <c r="J606" s="39">
        <f>SUM(P606:BG606)</f>
        <v>1.24</v>
      </c>
      <c r="K606" s="42" t="s">
        <v>429</v>
      </c>
      <c r="L606" s="42" t="s">
        <v>415</v>
      </c>
      <c r="M606" s="43">
        <v>40</v>
      </c>
      <c r="N606" s="210">
        <v>463</v>
      </c>
      <c r="O606" s="43"/>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v>0.06</v>
      </c>
      <c r="AR606" s="84"/>
      <c r="AS606" s="84"/>
      <c r="AT606" s="84"/>
      <c r="AU606" s="84"/>
      <c r="AV606" s="84"/>
      <c r="AW606" s="84"/>
      <c r="AX606" s="84"/>
      <c r="AY606" s="84"/>
      <c r="AZ606" s="84"/>
      <c r="BA606" s="84"/>
      <c r="BB606" s="84"/>
      <c r="BC606" s="84"/>
      <c r="BD606" s="79">
        <f>0.56+0.07+0.05+0.08+0.06+0.18+0.13</f>
        <v>1.1299999999999999</v>
      </c>
      <c r="BE606" s="84">
        <v>0.05</v>
      </c>
      <c r="BF606" s="84"/>
      <c r="BG606" s="84"/>
      <c r="BH606" s="84"/>
      <c r="BI606" s="84"/>
      <c r="BJ606" s="78">
        <f t="shared" si="70"/>
        <v>0</v>
      </c>
      <c r="BK606" s="84"/>
      <c r="BL606" s="44">
        <v>32</v>
      </c>
      <c r="BM606" s="79">
        <f t="shared" si="68"/>
        <v>0</v>
      </c>
      <c r="BN606" s="75"/>
      <c r="BO606" s="75" t="s">
        <v>778</v>
      </c>
    </row>
    <row r="607" spans="1:67" x14ac:dyDescent="0.3">
      <c r="A607" s="76" t="s">
        <v>639</v>
      </c>
      <c r="B607" s="77" t="s">
        <v>640</v>
      </c>
      <c r="C607" s="80" t="s">
        <v>50</v>
      </c>
      <c r="D607" s="81">
        <f t="shared" ref="D607:L607" si="79">SUM(D608:D623)</f>
        <v>27.609999999999996</v>
      </c>
      <c r="E607" s="81">
        <f t="shared" si="79"/>
        <v>15.14</v>
      </c>
      <c r="F607" s="81">
        <f t="shared" si="79"/>
        <v>12.470000000000002</v>
      </c>
      <c r="G607" s="81">
        <f t="shared" si="79"/>
        <v>6.6099999999999994</v>
      </c>
      <c r="H607" s="81">
        <f t="shared" si="79"/>
        <v>0</v>
      </c>
      <c r="I607" s="81">
        <f t="shared" si="79"/>
        <v>0</v>
      </c>
      <c r="J607" s="81">
        <f t="shared" si="79"/>
        <v>5.8599999999999994</v>
      </c>
      <c r="K607" s="82">
        <f t="shared" si="79"/>
        <v>0</v>
      </c>
      <c r="L607" s="82">
        <f t="shared" si="79"/>
        <v>0</v>
      </c>
      <c r="M607" s="83"/>
      <c r="N607" s="83"/>
      <c r="O607" s="83"/>
      <c r="P607" s="83">
        <f t="shared" ref="P607:BH607" si="80">SUM(P608:P623)</f>
        <v>0</v>
      </c>
      <c r="Q607" s="83">
        <f t="shared" si="80"/>
        <v>0</v>
      </c>
      <c r="R607" s="83">
        <f t="shared" si="80"/>
        <v>0</v>
      </c>
      <c r="S607" s="83">
        <f t="shared" si="80"/>
        <v>0</v>
      </c>
      <c r="T607" s="83">
        <f t="shared" si="80"/>
        <v>0</v>
      </c>
      <c r="U607" s="83">
        <f t="shared" si="80"/>
        <v>0</v>
      </c>
      <c r="V607" s="83">
        <f t="shared" si="80"/>
        <v>0</v>
      </c>
      <c r="W607" s="83">
        <f t="shared" si="80"/>
        <v>0</v>
      </c>
      <c r="X607" s="83">
        <f t="shared" si="80"/>
        <v>1.1800000000000002</v>
      </c>
      <c r="Y607" s="83">
        <f t="shared" si="80"/>
        <v>0</v>
      </c>
      <c r="Z607" s="83">
        <f t="shared" si="80"/>
        <v>0.16</v>
      </c>
      <c r="AA607" s="83">
        <f t="shared" si="80"/>
        <v>1.35</v>
      </c>
      <c r="AB607" s="83">
        <f t="shared" si="80"/>
        <v>0.27999999999999997</v>
      </c>
      <c r="AC607" s="83">
        <f t="shared" si="80"/>
        <v>0</v>
      </c>
      <c r="AD607" s="83">
        <f t="shared" si="80"/>
        <v>0</v>
      </c>
      <c r="AE607" s="83">
        <f t="shared" si="80"/>
        <v>0.99</v>
      </c>
      <c r="AF607" s="83">
        <f t="shared" si="80"/>
        <v>0</v>
      </c>
      <c r="AG607" s="83">
        <f t="shared" si="80"/>
        <v>0.5</v>
      </c>
      <c r="AH607" s="83">
        <f t="shared" si="80"/>
        <v>0</v>
      </c>
      <c r="AI607" s="83">
        <f t="shared" si="80"/>
        <v>0</v>
      </c>
      <c r="AJ607" s="83">
        <f t="shared" si="80"/>
        <v>0</v>
      </c>
      <c r="AK607" s="83">
        <f t="shared" si="80"/>
        <v>0</v>
      </c>
      <c r="AL607" s="83">
        <f t="shared" si="80"/>
        <v>0</v>
      </c>
      <c r="AM607" s="83">
        <f t="shared" si="80"/>
        <v>0</v>
      </c>
      <c r="AN607" s="83">
        <f t="shared" si="80"/>
        <v>0</v>
      </c>
      <c r="AO607" s="83">
        <f t="shared" si="80"/>
        <v>0</v>
      </c>
      <c r="AP607" s="83">
        <f t="shared" si="80"/>
        <v>0</v>
      </c>
      <c r="AQ607" s="83">
        <f t="shared" si="80"/>
        <v>0.8</v>
      </c>
      <c r="AR607" s="83">
        <f t="shared" si="80"/>
        <v>0</v>
      </c>
      <c r="AS607" s="83">
        <f t="shared" si="80"/>
        <v>0</v>
      </c>
      <c r="AT607" s="83">
        <f t="shared" si="80"/>
        <v>0</v>
      </c>
      <c r="AU607" s="83">
        <f t="shared" si="80"/>
        <v>0</v>
      </c>
      <c r="AV607" s="83">
        <f t="shared" si="80"/>
        <v>0</v>
      </c>
      <c r="AW607" s="83">
        <f t="shared" si="80"/>
        <v>0</v>
      </c>
      <c r="AX607" s="83">
        <f t="shared" si="80"/>
        <v>0</v>
      </c>
      <c r="AY607" s="83">
        <f t="shared" si="80"/>
        <v>0</v>
      </c>
      <c r="AZ607" s="83">
        <f t="shared" si="80"/>
        <v>0</v>
      </c>
      <c r="BA607" s="83">
        <f t="shared" si="80"/>
        <v>0</v>
      </c>
      <c r="BB607" s="83">
        <f t="shared" si="80"/>
        <v>0</v>
      </c>
      <c r="BC607" s="83">
        <f t="shared" si="80"/>
        <v>0.28999999999999998</v>
      </c>
      <c r="BD607" s="83">
        <f t="shared" si="80"/>
        <v>0.1</v>
      </c>
      <c r="BE607" s="83">
        <f t="shared" si="80"/>
        <v>0.21000000000000002</v>
      </c>
      <c r="BF607" s="83">
        <f t="shared" si="80"/>
        <v>0</v>
      </c>
      <c r="BG607" s="83">
        <f t="shared" si="80"/>
        <v>0</v>
      </c>
      <c r="BH607" s="83">
        <f t="shared" si="80"/>
        <v>0</v>
      </c>
      <c r="BI607" s="83"/>
      <c r="BJ607" s="78">
        <f t="shared" si="70"/>
        <v>0</v>
      </c>
      <c r="BK607" s="84"/>
      <c r="BL607" s="44">
        <v>33</v>
      </c>
      <c r="BM607" s="79">
        <f t="shared" si="68"/>
        <v>0</v>
      </c>
      <c r="BN607" s="75"/>
      <c r="BO607" s="75"/>
    </row>
    <row r="608" spans="1:67" s="4" customFormat="1" x14ac:dyDescent="0.3">
      <c r="A608" s="48">
        <v>1</v>
      </c>
      <c r="B608" s="42" t="s">
        <v>529</v>
      </c>
      <c r="C608" s="43" t="s">
        <v>50</v>
      </c>
      <c r="D608" s="41">
        <v>0.54</v>
      </c>
      <c r="E608" s="41">
        <v>0.28000000000000003</v>
      </c>
      <c r="F608" s="41">
        <v>0.26</v>
      </c>
      <c r="G608" s="41">
        <v>0</v>
      </c>
      <c r="H608" s="41"/>
      <c r="I608" s="39"/>
      <c r="J608" s="41">
        <v>0.26</v>
      </c>
      <c r="K608" s="42" t="s">
        <v>912</v>
      </c>
      <c r="L608" s="117" t="s">
        <v>67</v>
      </c>
      <c r="M608" s="43">
        <v>28</v>
      </c>
      <c r="N608" s="210">
        <v>464</v>
      </c>
      <c r="O608" s="43"/>
      <c r="P608" s="48"/>
      <c r="Q608" s="115"/>
      <c r="R608" s="115"/>
      <c r="S608" s="115"/>
      <c r="T608" s="115"/>
      <c r="U608" s="115"/>
      <c r="V608" s="115"/>
      <c r="W608" s="115"/>
      <c r="X608" s="115"/>
      <c r="Y608" s="115"/>
      <c r="Z608" s="115"/>
      <c r="AA608" s="115">
        <v>0.2</v>
      </c>
      <c r="AB608" s="115"/>
      <c r="AC608" s="115"/>
      <c r="AD608" s="115"/>
      <c r="AE608" s="115">
        <v>0.06</v>
      </c>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78">
        <f t="shared" si="70"/>
        <v>0</v>
      </c>
      <c r="BK608" s="115"/>
      <c r="BL608" s="44">
        <v>33</v>
      </c>
      <c r="BM608" s="79">
        <f t="shared" si="68"/>
        <v>0</v>
      </c>
      <c r="BN608" s="75"/>
      <c r="BO608" s="75"/>
    </row>
    <row r="609" spans="1:67" s="4" customFormat="1" ht="48" customHeight="1" x14ac:dyDescent="0.3">
      <c r="A609" s="48">
        <v>2</v>
      </c>
      <c r="B609" s="42" t="s">
        <v>879</v>
      </c>
      <c r="C609" s="48" t="s">
        <v>50</v>
      </c>
      <c r="D609" s="39">
        <v>0.61</v>
      </c>
      <c r="E609" s="39"/>
      <c r="F609" s="39">
        <v>0.61</v>
      </c>
      <c r="G609" s="41"/>
      <c r="H609" s="41"/>
      <c r="I609" s="39"/>
      <c r="J609" s="41">
        <v>0.61</v>
      </c>
      <c r="K609" s="42" t="s">
        <v>880</v>
      </c>
      <c r="L609" s="42" t="s">
        <v>91</v>
      </c>
      <c r="M609" s="48">
        <v>13</v>
      </c>
      <c r="N609" s="206">
        <v>465</v>
      </c>
      <c r="O609" s="48"/>
      <c r="P609" s="42"/>
      <c r="Q609" s="84"/>
      <c r="R609" s="84"/>
      <c r="S609" s="84"/>
      <c r="T609" s="84"/>
      <c r="U609" s="84"/>
      <c r="V609" s="84"/>
      <c r="W609" s="84"/>
      <c r="X609" s="84"/>
      <c r="Y609" s="84"/>
      <c r="Z609" s="84"/>
      <c r="AA609" s="84">
        <v>0.4</v>
      </c>
      <c r="AB609" s="84"/>
      <c r="AC609" s="84"/>
      <c r="AD609" s="84"/>
      <c r="AE609" s="84">
        <v>0.1</v>
      </c>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v>0.11</v>
      </c>
      <c r="BF609" s="84"/>
      <c r="BG609" s="84"/>
      <c r="BH609" s="84"/>
      <c r="BI609" s="84"/>
      <c r="BJ609" s="78">
        <f t="shared" si="70"/>
        <v>0</v>
      </c>
      <c r="BK609" s="84"/>
      <c r="BL609" s="44">
        <v>33</v>
      </c>
      <c r="BM609" s="79">
        <f t="shared" si="68"/>
        <v>0</v>
      </c>
      <c r="BN609" s="75"/>
      <c r="BO609" s="75"/>
    </row>
    <row r="610" spans="1:67" s="4" customFormat="1" x14ac:dyDescent="0.3">
      <c r="A610" s="48">
        <v>3</v>
      </c>
      <c r="B610" s="50" t="s">
        <v>541</v>
      </c>
      <c r="C610" s="39" t="s">
        <v>50</v>
      </c>
      <c r="D610" s="41">
        <v>1.55</v>
      </c>
      <c r="E610" s="41">
        <v>0.75</v>
      </c>
      <c r="F610" s="41">
        <v>0.8</v>
      </c>
      <c r="G610" s="39">
        <v>0.7</v>
      </c>
      <c r="H610" s="39"/>
      <c r="I610" s="39"/>
      <c r="J610" s="39">
        <v>0.1</v>
      </c>
      <c r="K610" s="50" t="s">
        <v>156</v>
      </c>
      <c r="L610" s="50" t="s">
        <v>154</v>
      </c>
      <c r="M610" s="110">
        <v>10</v>
      </c>
      <c r="N610" s="211">
        <v>466</v>
      </c>
      <c r="O610" s="110"/>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c r="BC610" s="39"/>
      <c r="BD610" s="39">
        <v>0.1</v>
      </c>
      <c r="BE610" s="39"/>
      <c r="BF610" s="39"/>
      <c r="BG610" s="39"/>
      <c r="BH610" s="39"/>
      <c r="BI610" s="39"/>
      <c r="BJ610" s="78">
        <f t="shared" si="70"/>
        <v>0</v>
      </c>
      <c r="BK610" s="39"/>
      <c r="BL610" s="44">
        <v>33</v>
      </c>
      <c r="BM610" s="79">
        <f t="shared" si="68"/>
        <v>0</v>
      </c>
      <c r="BN610" s="75"/>
      <c r="BO610" s="75"/>
    </row>
    <row r="611" spans="1:67" s="4" customFormat="1" x14ac:dyDescent="0.3">
      <c r="A611" s="48">
        <v>4</v>
      </c>
      <c r="B611" s="94" t="s">
        <v>528</v>
      </c>
      <c r="C611" s="96" t="s">
        <v>50</v>
      </c>
      <c r="D611" s="108">
        <v>4.5999999999999996</v>
      </c>
      <c r="E611" s="108"/>
      <c r="F611" s="108">
        <v>4.5999999999999996</v>
      </c>
      <c r="G611" s="108">
        <v>4.5999999999999996</v>
      </c>
      <c r="H611" s="39"/>
      <c r="I611" s="39"/>
      <c r="J611" s="39"/>
      <c r="K611" s="94" t="s">
        <v>168</v>
      </c>
      <c r="L611" s="50" t="s">
        <v>154</v>
      </c>
      <c r="M611" s="110">
        <v>53</v>
      </c>
      <c r="N611" s="211">
        <v>467</v>
      </c>
      <c r="O611" s="110"/>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c r="BC611" s="39"/>
      <c r="BD611" s="39"/>
      <c r="BE611" s="39"/>
      <c r="BF611" s="39"/>
      <c r="BG611" s="39"/>
      <c r="BH611" s="39"/>
      <c r="BI611" s="39"/>
      <c r="BJ611" s="78">
        <f t="shared" si="70"/>
        <v>0</v>
      </c>
      <c r="BK611" s="39"/>
      <c r="BL611" s="44">
        <v>33</v>
      </c>
      <c r="BM611" s="79">
        <f t="shared" si="68"/>
        <v>0</v>
      </c>
      <c r="BN611" s="75"/>
      <c r="BO611" s="75"/>
    </row>
    <row r="612" spans="1:67" s="4" customFormat="1" x14ac:dyDescent="0.3">
      <c r="A612" s="48">
        <v>5</v>
      </c>
      <c r="B612" s="50" t="s">
        <v>527</v>
      </c>
      <c r="C612" s="39" t="s">
        <v>50</v>
      </c>
      <c r="D612" s="41">
        <v>0.92</v>
      </c>
      <c r="E612" s="41">
        <v>0.42</v>
      </c>
      <c r="F612" s="41">
        <v>0.5</v>
      </c>
      <c r="G612" s="41"/>
      <c r="H612" s="41"/>
      <c r="I612" s="39"/>
      <c r="J612" s="39">
        <v>0.5</v>
      </c>
      <c r="K612" s="101" t="s">
        <v>214</v>
      </c>
      <c r="L612" s="50" t="s">
        <v>208</v>
      </c>
      <c r="M612" s="110">
        <v>43</v>
      </c>
      <c r="N612" s="211">
        <v>468</v>
      </c>
      <c r="O612" s="110"/>
      <c r="P612" s="39"/>
      <c r="Q612" s="39"/>
      <c r="R612" s="39"/>
      <c r="S612" s="39"/>
      <c r="T612" s="39"/>
      <c r="U612" s="39"/>
      <c r="V612" s="39"/>
      <c r="W612" s="39"/>
      <c r="X612" s="39"/>
      <c r="Y612" s="39"/>
      <c r="Z612" s="39"/>
      <c r="AA612" s="39">
        <v>0.5</v>
      </c>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39"/>
      <c r="BD612" s="39"/>
      <c r="BE612" s="39"/>
      <c r="BF612" s="39"/>
      <c r="BG612" s="39"/>
      <c r="BH612" s="39"/>
      <c r="BI612" s="39"/>
      <c r="BJ612" s="78">
        <f t="shared" si="70"/>
        <v>0</v>
      </c>
      <c r="BK612" s="84"/>
      <c r="BL612" s="44">
        <v>33</v>
      </c>
      <c r="BM612" s="79">
        <f t="shared" si="68"/>
        <v>0</v>
      </c>
      <c r="BN612" s="75"/>
      <c r="BO612" s="75"/>
    </row>
    <row r="613" spans="1:67" s="4" customFormat="1" x14ac:dyDescent="0.3">
      <c r="A613" s="48">
        <v>6</v>
      </c>
      <c r="B613" s="50" t="s">
        <v>526</v>
      </c>
      <c r="C613" s="39" t="s">
        <v>50</v>
      </c>
      <c r="D613" s="41">
        <v>0.59</v>
      </c>
      <c r="E613" s="41">
        <v>0.24</v>
      </c>
      <c r="F613" s="41">
        <v>0.35</v>
      </c>
      <c r="G613" s="41">
        <v>0</v>
      </c>
      <c r="H613" s="41"/>
      <c r="I613" s="39"/>
      <c r="J613" s="39">
        <v>0.35</v>
      </c>
      <c r="K613" s="101" t="s">
        <v>232</v>
      </c>
      <c r="L613" s="50" t="s">
        <v>208</v>
      </c>
      <c r="M613" s="110">
        <v>44</v>
      </c>
      <c r="N613" s="211">
        <v>469</v>
      </c>
      <c r="O613" s="110"/>
      <c r="P613" s="39"/>
      <c r="Q613" s="39"/>
      <c r="R613" s="39"/>
      <c r="S613" s="39"/>
      <c r="T613" s="39"/>
      <c r="U613" s="39"/>
      <c r="V613" s="39"/>
      <c r="W613" s="39"/>
      <c r="X613" s="39"/>
      <c r="Y613" s="39"/>
      <c r="Z613" s="39"/>
      <c r="AA613" s="39">
        <v>0.25</v>
      </c>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39"/>
      <c r="BD613" s="39"/>
      <c r="BE613" s="39">
        <v>0.1</v>
      </c>
      <c r="BF613" s="39"/>
      <c r="BG613" s="39"/>
      <c r="BH613" s="39"/>
      <c r="BI613" s="39"/>
      <c r="BJ613" s="78">
        <f t="shared" si="70"/>
        <v>0</v>
      </c>
      <c r="BK613" s="84"/>
      <c r="BL613" s="44">
        <v>33</v>
      </c>
      <c r="BM613" s="79">
        <f t="shared" si="68"/>
        <v>0</v>
      </c>
      <c r="BN613" s="75"/>
      <c r="BO613" s="75"/>
    </row>
    <row r="614" spans="1:67" s="4" customFormat="1" ht="31.2" x14ac:dyDescent="0.3">
      <c r="A614" s="48">
        <v>7</v>
      </c>
      <c r="B614" s="42" t="s">
        <v>258</v>
      </c>
      <c r="C614" s="43" t="s">
        <v>50</v>
      </c>
      <c r="D614" s="41">
        <v>0.2</v>
      </c>
      <c r="E614" s="41"/>
      <c r="F614" s="41">
        <v>0.2</v>
      </c>
      <c r="G614" s="41"/>
      <c r="H614" s="39"/>
      <c r="I614" s="39"/>
      <c r="J614" s="39">
        <v>0.2</v>
      </c>
      <c r="K614" s="42" t="s">
        <v>249</v>
      </c>
      <c r="L614" s="42" t="s">
        <v>247</v>
      </c>
      <c r="M614" s="43">
        <v>45</v>
      </c>
      <c r="N614" s="210">
        <v>470</v>
      </c>
      <c r="O614" s="43"/>
      <c r="P614" s="111"/>
      <c r="Q614" s="84"/>
      <c r="R614" s="84"/>
      <c r="S614" s="84"/>
      <c r="T614" s="84"/>
      <c r="U614" s="84"/>
      <c r="V614" s="84"/>
      <c r="W614" s="84"/>
      <c r="X614" s="84">
        <v>0.2</v>
      </c>
      <c r="Y614" s="84"/>
      <c r="Z614" s="84"/>
      <c r="AA614" s="84"/>
      <c r="AB614" s="84"/>
      <c r="AC614" s="84"/>
      <c r="AD614" s="84"/>
      <c r="AE614" s="84"/>
      <c r="AF614" s="84"/>
      <c r="AG614" s="84"/>
      <c r="AH614" s="84"/>
      <c r="AI614" s="84"/>
      <c r="AJ614" s="84"/>
      <c r="AK614" s="84"/>
      <c r="AL614" s="84"/>
      <c r="AM614" s="84"/>
      <c r="AN614" s="84"/>
      <c r="AO614" s="84"/>
      <c r="AP614" s="84"/>
      <c r="AQ614" s="84"/>
      <c r="AR614" s="84"/>
      <c r="AS614" s="84"/>
      <c r="AT614" s="84"/>
      <c r="AU614" s="84"/>
      <c r="AV614" s="84"/>
      <c r="AW614" s="84"/>
      <c r="AX614" s="84"/>
      <c r="AY614" s="84"/>
      <c r="AZ614" s="84"/>
      <c r="BA614" s="84"/>
      <c r="BB614" s="84"/>
      <c r="BC614" s="84"/>
      <c r="BD614" s="84"/>
      <c r="BE614" s="84"/>
      <c r="BF614" s="84"/>
      <c r="BG614" s="84"/>
      <c r="BH614" s="84"/>
      <c r="BI614" s="84"/>
      <c r="BJ614" s="78">
        <f t="shared" si="70"/>
        <v>0</v>
      </c>
      <c r="BK614" s="84"/>
      <c r="BL614" s="44">
        <v>33</v>
      </c>
      <c r="BM614" s="79">
        <f t="shared" si="68"/>
        <v>0</v>
      </c>
      <c r="BN614" s="75"/>
      <c r="BO614" s="75"/>
    </row>
    <row r="615" spans="1:67" s="4" customFormat="1" x14ac:dyDescent="0.3">
      <c r="A615" s="48">
        <v>8</v>
      </c>
      <c r="B615" s="42" t="s">
        <v>525</v>
      </c>
      <c r="C615" s="43" t="s">
        <v>50</v>
      </c>
      <c r="D615" s="39">
        <v>0.85</v>
      </c>
      <c r="E615" s="39">
        <v>0.71</v>
      </c>
      <c r="F615" s="39">
        <v>0.14000000000000001</v>
      </c>
      <c r="G615" s="39"/>
      <c r="H615" s="39"/>
      <c r="I615" s="39"/>
      <c r="J615" s="39">
        <v>0.14000000000000001</v>
      </c>
      <c r="K615" s="42" t="s">
        <v>1012</v>
      </c>
      <c r="L615" s="42" t="s">
        <v>247</v>
      </c>
      <c r="M615" s="43">
        <v>46</v>
      </c>
      <c r="N615" s="210">
        <v>471</v>
      </c>
      <c r="O615" s="43"/>
      <c r="P615" s="90"/>
      <c r="Q615" s="90"/>
      <c r="R615" s="90"/>
      <c r="S615" s="90"/>
      <c r="T615" s="90"/>
      <c r="U615" s="90"/>
      <c r="V615" s="90"/>
      <c r="W615" s="90"/>
      <c r="X615" s="90"/>
      <c r="Y615" s="90"/>
      <c r="Z615" s="44"/>
      <c r="AA615" s="90"/>
      <c r="AB615" s="90"/>
      <c r="AC615" s="90"/>
      <c r="AD615" s="90"/>
      <c r="AE615" s="44">
        <v>0.14000000000000001</v>
      </c>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c r="BB615" s="90"/>
      <c r="BC615" s="90"/>
      <c r="BD615" s="90"/>
      <c r="BE615" s="90"/>
      <c r="BF615" s="90"/>
      <c r="BG615" s="90"/>
      <c r="BH615" s="90"/>
      <c r="BI615" s="90"/>
      <c r="BJ615" s="78">
        <f t="shared" si="70"/>
        <v>0</v>
      </c>
      <c r="BK615" s="84"/>
      <c r="BL615" s="44">
        <v>33</v>
      </c>
      <c r="BM615" s="79">
        <f t="shared" si="68"/>
        <v>0</v>
      </c>
      <c r="BN615" s="75"/>
      <c r="BO615" s="75"/>
    </row>
    <row r="616" spans="1:67" s="4" customFormat="1" x14ac:dyDescent="0.3">
      <c r="A616" s="48">
        <v>9</v>
      </c>
      <c r="B616" s="42" t="s">
        <v>263</v>
      </c>
      <c r="C616" s="48" t="s">
        <v>50</v>
      </c>
      <c r="D616" s="41">
        <v>10.69</v>
      </c>
      <c r="E616" s="41">
        <v>8.8000000000000007</v>
      </c>
      <c r="F616" s="41">
        <v>1.89</v>
      </c>
      <c r="G616" s="39">
        <v>0.8</v>
      </c>
      <c r="H616" s="39"/>
      <c r="I616" s="39"/>
      <c r="J616" s="39">
        <v>1.0900000000000001</v>
      </c>
      <c r="K616" s="42" t="s">
        <v>1044</v>
      </c>
      <c r="L616" s="42" t="s">
        <v>261</v>
      </c>
      <c r="M616" s="48">
        <v>9</v>
      </c>
      <c r="N616" s="206">
        <v>472</v>
      </c>
      <c r="O616" s="48"/>
      <c r="P616" s="84"/>
      <c r="Q616" s="84"/>
      <c r="R616" s="84"/>
      <c r="S616" s="84"/>
      <c r="T616" s="84"/>
      <c r="U616" s="84"/>
      <c r="V616" s="84"/>
      <c r="W616" s="84"/>
      <c r="X616" s="84"/>
      <c r="Y616" s="84"/>
      <c r="Z616" s="84"/>
      <c r="AA616" s="84"/>
      <c r="AB616" s="84"/>
      <c r="AC616" s="84"/>
      <c r="AD616" s="84"/>
      <c r="AE616" s="84"/>
      <c r="AF616" s="84"/>
      <c r="AG616" s="118"/>
      <c r="AH616" s="84"/>
      <c r="AI616" s="84"/>
      <c r="AJ616" s="84"/>
      <c r="AK616" s="84"/>
      <c r="AL616" s="84"/>
      <c r="AM616" s="84"/>
      <c r="AN616" s="84"/>
      <c r="AO616" s="84"/>
      <c r="AP616" s="84"/>
      <c r="AQ616" s="84">
        <v>0.8</v>
      </c>
      <c r="AR616" s="84"/>
      <c r="AS616" s="84"/>
      <c r="AT616" s="84"/>
      <c r="AU616" s="84"/>
      <c r="AV616" s="84"/>
      <c r="AW616" s="84"/>
      <c r="AX616" s="84"/>
      <c r="AY616" s="84"/>
      <c r="AZ616" s="84"/>
      <c r="BA616" s="84"/>
      <c r="BB616" s="84"/>
      <c r="BC616" s="84">
        <v>0.28999999999999998</v>
      </c>
      <c r="BD616" s="84"/>
      <c r="BE616" s="84"/>
      <c r="BF616" s="84"/>
      <c r="BG616" s="84"/>
      <c r="BH616" s="84"/>
      <c r="BI616" s="84"/>
      <c r="BJ616" s="78">
        <f t="shared" si="70"/>
        <v>0</v>
      </c>
      <c r="BK616" s="84"/>
      <c r="BL616" s="44">
        <v>33</v>
      </c>
      <c r="BM616" s="79">
        <f t="shared" si="68"/>
        <v>0</v>
      </c>
      <c r="BN616" s="75"/>
      <c r="BO616" s="75"/>
    </row>
    <row r="617" spans="1:67" s="4" customFormat="1" x14ac:dyDescent="0.3">
      <c r="A617" s="48">
        <v>11</v>
      </c>
      <c r="B617" s="42" t="s">
        <v>341</v>
      </c>
      <c r="C617" s="48" t="s">
        <v>50</v>
      </c>
      <c r="D617" s="39">
        <v>1.29</v>
      </c>
      <c r="E617" s="39">
        <v>0.5</v>
      </c>
      <c r="F617" s="39">
        <f>0.79</f>
        <v>0.79</v>
      </c>
      <c r="G617" s="39">
        <f>0.79-0.28</f>
        <v>0.51</v>
      </c>
      <c r="H617" s="39"/>
      <c r="I617" s="39"/>
      <c r="J617" s="39">
        <f>SUM(Z617:BG617)</f>
        <v>0.27999999999999997</v>
      </c>
      <c r="K617" s="42" t="s">
        <v>319</v>
      </c>
      <c r="L617" s="42" t="s">
        <v>294</v>
      </c>
      <c r="M617" s="44">
        <v>33</v>
      </c>
      <c r="N617" s="209">
        <v>474</v>
      </c>
      <c r="O617" s="44"/>
      <c r="P617" s="84"/>
      <c r="Q617" s="84"/>
      <c r="R617" s="84"/>
      <c r="S617" s="84"/>
      <c r="T617" s="84"/>
      <c r="U617" s="84"/>
      <c r="V617" s="84"/>
      <c r="W617" s="84"/>
      <c r="X617" s="84"/>
      <c r="Y617" s="84"/>
      <c r="Z617" s="48"/>
      <c r="AA617" s="48"/>
      <c r="AB617" s="48">
        <f>0.04+0.03+0.03+0.03+0.03+0.03+0.03+0.02+0.04</f>
        <v>0.27999999999999997</v>
      </c>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78">
        <f t="shared" si="70"/>
        <v>0</v>
      </c>
      <c r="BK617" s="84"/>
      <c r="BL617" s="44">
        <v>33</v>
      </c>
      <c r="BM617" s="79">
        <f t="shared" si="68"/>
        <v>0</v>
      </c>
      <c r="BN617" s="75"/>
      <c r="BO617" s="75"/>
    </row>
    <row r="618" spans="1:67" s="4" customFormat="1" x14ac:dyDescent="0.3">
      <c r="A618" s="48">
        <v>12</v>
      </c>
      <c r="B618" s="42" t="s">
        <v>342</v>
      </c>
      <c r="C618" s="48" t="s">
        <v>50</v>
      </c>
      <c r="D618" s="39">
        <v>0.84</v>
      </c>
      <c r="E618" s="39">
        <v>0.45</v>
      </c>
      <c r="F618" s="39">
        <v>0.39</v>
      </c>
      <c r="G618" s="39"/>
      <c r="H618" s="39"/>
      <c r="I618" s="39"/>
      <c r="J618" s="39">
        <f>SUM(Z618:BG618)</f>
        <v>0.39</v>
      </c>
      <c r="K618" s="42" t="s">
        <v>343</v>
      </c>
      <c r="L618" s="42" t="s">
        <v>294</v>
      </c>
      <c r="M618" s="44">
        <v>34</v>
      </c>
      <c r="N618" s="209">
        <v>475</v>
      </c>
      <c r="O618" s="44"/>
      <c r="P618" s="84"/>
      <c r="Q618" s="84"/>
      <c r="R618" s="84"/>
      <c r="S618" s="84"/>
      <c r="T618" s="84"/>
      <c r="U618" s="84"/>
      <c r="V618" s="84"/>
      <c r="W618" s="84"/>
      <c r="X618" s="84"/>
      <c r="Y618" s="84"/>
      <c r="Z618" s="48"/>
      <c r="AA618" s="48"/>
      <c r="AB618" s="48"/>
      <c r="AC618" s="48"/>
      <c r="AD618" s="48"/>
      <c r="AE618" s="48">
        <v>0.39</v>
      </c>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78">
        <f t="shared" si="70"/>
        <v>0</v>
      </c>
      <c r="BK618" s="84"/>
      <c r="BL618" s="44">
        <v>33</v>
      </c>
      <c r="BM618" s="79">
        <f t="shared" si="68"/>
        <v>0</v>
      </c>
      <c r="BN618" s="75"/>
      <c r="BO618" s="75"/>
    </row>
    <row r="619" spans="1:67" s="4" customFormat="1" x14ac:dyDescent="0.3">
      <c r="A619" s="48">
        <v>13</v>
      </c>
      <c r="B619" s="42" t="s">
        <v>376</v>
      </c>
      <c r="C619" s="48" t="s">
        <v>50</v>
      </c>
      <c r="D619" s="41">
        <v>1.52</v>
      </c>
      <c r="E619" s="41">
        <v>1.17</v>
      </c>
      <c r="F619" s="41">
        <v>0.35</v>
      </c>
      <c r="G619" s="39"/>
      <c r="H619" s="39"/>
      <c r="I619" s="39"/>
      <c r="J619" s="39">
        <f>SUM(V619:BG619)</f>
        <v>0.35</v>
      </c>
      <c r="K619" s="42" t="s">
        <v>373</v>
      </c>
      <c r="L619" s="42" t="s">
        <v>364</v>
      </c>
      <c r="M619" s="44">
        <v>18</v>
      </c>
      <c r="N619" s="209">
        <v>476</v>
      </c>
      <c r="O619" s="44"/>
      <c r="P619" s="39"/>
      <c r="Q619" s="39"/>
      <c r="R619" s="39"/>
      <c r="S619" s="39"/>
      <c r="T619" s="39"/>
      <c r="U619" s="39"/>
      <c r="V619" s="39"/>
      <c r="W619" s="39"/>
      <c r="X619" s="39">
        <v>0.35</v>
      </c>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c r="BC619" s="39"/>
      <c r="BD619" s="39"/>
      <c r="BE619" s="39"/>
      <c r="BF619" s="39"/>
      <c r="BG619" s="39"/>
      <c r="BH619" s="39"/>
      <c r="BI619" s="39"/>
      <c r="BJ619" s="78">
        <f t="shared" si="70"/>
        <v>0</v>
      </c>
      <c r="BK619" s="84"/>
      <c r="BL619" s="44">
        <v>33</v>
      </c>
      <c r="BM619" s="79">
        <f t="shared" si="68"/>
        <v>0</v>
      </c>
      <c r="BN619" s="75"/>
      <c r="BO619" s="75"/>
    </row>
    <row r="620" spans="1:67" s="4" customFormat="1" x14ac:dyDescent="0.3">
      <c r="A620" s="48">
        <v>14</v>
      </c>
      <c r="B620" s="42" t="s">
        <v>1076</v>
      </c>
      <c r="C620" s="48" t="s">
        <v>50</v>
      </c>
      <c r="D620" s="41">
        <v>1.37</v>
      </c>
      <c r="E620" s="41">
        <v>0.74</v>
      </c>
      <c r="F620" s="41">
        <v>0.63</v>
      </c>
      <c r="G620" s="39"/>
      <c r="H620" s="39"/>
      <c r="I620" s="39"/>
      <c r="J620" s="39">
        <v>0.63</v>
      </c>
      <c r="K620" s="42" t="s">
        <v>373</v>
      </c>
      <c r="L620" s="42" t="s">
        <v>364</v>
      </c>
      <c r="M620" s="44"/>
      <c r="N620" s="209">
        <v>477</v>
      </c>
      <c r="O620" s="44"/>
      <c r="P620" s="39"/>
      <c r="Q620" s="39"/>
      <c r="R620" s="39"/>
      <c r="S620" s="39"/>
      <c r="T620" s="39"/>
      <c r="U620" s="39"/>
      <c r="V620" s="39"/>
      <c r="W620" s="39"/>
      <c r="X620" s="39">
        <v>0.63</v>
      </c>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c r="BC620" s="39"/>
      <c r="BD620" s="39"/>
      <c r="BE620" s="39"/>
      <c r="BF620" s="39"/>
      <c r="BG620" s="39"/>
      <c r="BH620" s="39"/>
      <c r="BI620" s="39"/>
      <c r="BJ620" s="78">
        <f t="shared" si="70"/>
        <v>0</v>
      </c>
      <c r="BK620" s="84"/>
      <c r="BL620" s="44"/>
      <c r="BM620" s="79"/>
      <c r="BN620" s="75"/>
      <c r="BO620" s="75"/>
    </row>
    <row r="621" spans="1:67" s="4" customFormat="1" x14ac:dyDescent="0.3">
      <c r="A621" s="48">
        <v>15</v>
      </c>
      <c r="B621" s="42" t="s">
        <v>382</v>
      </c>
      <c r="C621" s="48" t="s">
        <v>50</v>
      </c>
      <c r="D621" s="39">
        <v>0.74</v>
      </c>
      <c r="E621" s="39">
        <v>0.44</v>
      </c>
      <c r="F621" s="39">
        <v>0.3</v>
      </c>
      <c r="G621" s="39"/>
      <c r="H621" s="39"/>
      <c r="I621" s="39"/>
      <c r="J621" s="39">
        <f>SUM(Z621:BG621)</f>
        <v>0.3</v>
      </c>
      <c r="K621" s="42" t="s">
        <v>383</v>
      </c>
      <c r="L621" s="42" t="s">
        <v>377</v>
      </c>
      <c r="M621" s="43">
        <v>12</v>
      </c>
      <c r="N621" s="210">
        <v>478</v>
      </c>
      <c r="O621" s="43"/>
      <c r="P621" s="84"/>
      <c r="Q621" s="84"/>
      <c r="R621" s="84"/>
      <c r="S621" s="84"/>
      <c r="T621" s="84"/>
      <c r="U621" s="84"/>
      <c r="V621" s="84"/>
      <c r="W621" s="84"/>
      <c r="X621" s="84"/>
      <c r="Y621" s="84"/>
      <c r="Z621" s="84"/>
      <c r="AA621" s="84"/>
      <c r="AB621" s="84"/>
      <c r="AC621" s="84"/>
      <c r="AD621" s="84"/>
      <c r="AE621" s="84">
        <v>0.3</v>
      </c>
      <c r="AF621" s="84"/>
      <c r="AG621" s="84"/>
      <c r="AH621" s="84"/>
      <c r="AI621" s="84"/>
      <c r="AJ621" s="84"/>
      <c r="AK621" s="84"/>
      <c r="AL621" s="84"/>
      <c r="AM621" s="84"/>
      <c r="AN621" s="84"/>
      <c r="AO621" s="84"/>
      <c r="AP621" s="84"/>
      <c r="AQ621" s="84"/>
      <c r="AR621" s="84"/>
      <c r="AS621" s="84"/>
      <c r="AT621" s="84"/>
      <c r="AU621" s="84"/>
      <c r="AV621" s="84"/>
      <c r="AW621" s="84"/>
      <c r="AX621" s="84"/>
      <c r="AY621" s="84"/>
      <c r="AZ621" s="84"/>
      <c r="BA621" s="84"/>
      <c r="BB621" s="84"/>
      <c r="BC621" s="84"/>
      <c r="BD621" s="84"/>
      <c r="BE621" s="84"/>
      <c r="BF621" s="84"/>
      <c r="BG621" s="84"/>
      <c r="BH621" s="84"/>
      <c r="BI621" s="84"/>
      <c r="BJ621" s="78">
        <f t="shared" si="70"/>
        <v>0</v>
      </c>
      <c r="BK621" s="84"/>
      <c r="BL621" s="44">
        <v>33</v>
      </c>
      <c r="BM621" s="79">
        <f t="shared" si="68"/>
        <v>0</v>
      </c>
      <c r="BN621" s="75"/>
      <c r="BO621" s="75"/>
    </row>
    <row r="622" spans="1:67" s="4" customFormat="1" x14ac:dyDescent="0.3">
      <c r="A622" s="48">
        <v>16</v>
      </c>
      <c r="B622" s="42" t="s">
        <v>412</v>
      </c>
      <c r="C622" s="43" t="s">
        <v>50</v>
      </c>
      <c r="D622" s="41">
        <v>0.5</v>
      </c>
      <c r="E622" s="41"/>
      <c r="F622" s="41">
        <v>0.5</v>
      </c>
      <c r="G622" s="41"/>
      <c r="H622" s="41"/>
      <c r="I622" s="41"/>
      <c r="J622" s="39">
        <f>SUM(P622:BE622)</f>
        <v>0.5</v>
      </c>
      <c r="K622" s="42" t="s">
        <v>413</v>
      </c>
      <c r="L622" s="42" t="s">
        <v>395</v>
      </c>
      <c r="M622" s="49">
        <v>30</v>
      </c>
      <c r="N622" s="208">
        <v>479</v>
      </c>
      <c r="O622" s="49"/>
      <c r="P622" s="124"/>
      <c r="Q622" s="124"/>
      <c r="R622" s="124"/>
      <c r="S622" s="124"/>
      <c r="T622" s="124"/>
      <c r="U622" s="124"/>
      <c r="V622" s="124"/>
      <c r="W622" s="124"/>
      <c r="X622" s="124"/>
      <c r="Y622" s="124"/>
      <c r="Z622" s="124"/>
      <c r="AA622" s="124"/>
      <c r="AB622" s="119"/>
      <c r="AC622" s="119"/>
      <c r="AD622" s="119"/>
      <c r="AE622" s="119"/>
      <c r="AF622" s="119"/>
      <c r="AG622" s="119">
        <v>0.5</v>
      </c>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19"/>
      <c r="BC622" s="119"/>
      <c r="BD622" s="119"/>
      <c r="BE622" s="119"/>
      <c r="BF622" s="119"/>
      <c r="BG622" s="119"/>
      <c r="BH622" s="119"/>
      <c r="BI622" s="119"/>
      <c r="BJ622" s="78">
        <f t="shared" si="70"/>
        <v>0</v>
      </c>
      <c r="BK622" s="84"/>
      <c r="BL622" s="44">
        <v>33</v>
      </c>
      <c r="BM622" s="79">
        <f t="shared" si="68"/>
        <v>0</v>
      </c>
      <c r="BN622" s="75"/>
      <c r="BO622" s="75"/>
    </row>
    <row r="623" spans="1:67" s="4" customFormat="1" ht="31.2" x14ac:dyDescent="0.3">
      <c r="A623" s="48">
        <v>17</v>
      </c>
      <c r="B623" s="42" t="s">
        <v>737</v>
      </c>
      <c r="C623" s="43" t="s">
        <v>50</v>
      </c>
      <c r="D623" s="41">
        <v>0.8</v>
      </c>
      <c r="E623" s="41">
        <v>0.64</v>
      </c>
      <c r="F623" s="41">
        <v>0.16</v>
      </c>
      <c r="G623" s="41">
        <v>0</v>
      </c>
      <c r="H623" s="41"/>
      <c r="I623" s="41"/>
      <c r="J623" s="41">
        <v>0.16</v>
      </c>
      <c r="K623" s="42" t="s">
        <v>999</v>
      </c>
      <c r="L623" s="42" t="s">
        <v>688</v>
      </c>
      <c r="M623" s="43">
        <v>21</v>
      </c>
      <c r="N623" s="210">
        <v>480</v>
      </c>
      <c r="O623" s="43"/>
      <c r="P623" s="97"/>
      <c r="Q623" s="97"/>
      <c r="R623" s="97"/>
      <c r="S623" s="97"/>
      <c r="T623" s="97"/>
      <c r="U623" s="97"/>
      <c r="V623" s="97"/>
      <c r="W623" s="97"/>
      <c r="X623" s="97"/>
      <c r="Y623" s="97"/>
      <c r="Z623" s="97">
        <v>0.16</v>
      </c>
      <c r="AA623" s="97"/>
      <c r="AB623" s="97"/>
      <c r="AC623" s="97"/>
      <c r="AD623" s="97"/>
      <c r="AE623" s="97"/>
      <c r="AF623" s="97"/>
      <c r="AG623" s="97"/>
      <c r="AH623" s="97"/>
      <c r="AI623" s="97"/>
      <c r="AJ623" s="97"/>
      <c r="AK623" s="97"/>
      <c r="AL623" s="97"/>
      <c r="AM623" s="97"/>
      <c r="AN623" s="97"/>
      <c r="AO623" s="97"/>
      <c r="AP623" s="97"/>
      <c r="AQ623" s="97"/>
      <c r="AR623" s="97"/>
      <c r="AS623" s="97"/>
      <c r="AT623" s="97"/>
      <c r="AU623" s="97"/>
      <c r="AV623" s="97"/>
      <c r="AW623" s="97"/>
      <c r="AX623" s="97"/>
      <c r="AY623" s="97"/>
      <c r="AZ623" s="97"/>
      <c r="BA623" s="97"/>
      <c r="BB623" s="97"/>
      <c r="BC623" s="97"/>
      <c r="BD623" s="97"/>
      <c r="BE623" s="97"/>
      <c r="BF623" s="97"/>
      <c r="BG623" s="97"/>
      <c r="BH623" s="97"/>
      <c r="BI623" s="97"/>
      <c r="BJ623" s="78">
        <f t="shared" si="70"/>
        <v>0</v>
      </c>
      <c r="BK623" s="97"/>
      <c r="BL623" s="97">
        <v>33</v>
      </c>
      <c r="BM623" s="79">
        <f t="shared" si="68"/>
        <v>0</v>
      </c>
      <c r="BN623" s="75"/>
      <c r="BO623" s="75"/>
    </row>
    <row r="624" spans="1:67" ht="31.2" x14ac:dyDescent="0.3">
      <c r="A624" s="76" t="s">
        <v>641</v>
      </c>
      <c r="B624" s="77" t="s">
        <v>642</v>
      </c>
      <c r="C624" s="80" t="s">
        <v>52</v>
      </c>
      <c r="D624" s="85">
        <f t="shared" ref="D624:L624" si="81">SUM(D625:D648)</f>
        <v>107.88999999999999</v>
      </c>
      <c r="E624" s="85">
        <f t="shared" si="81"/>
        <v>42.150000000000006</v>
      </c>
      <c r="F624" s="85">
        <f t="shared" si="81"/>
        <v>65.739999999999995</v>
      </c>
      <c r="G624" s="85">
        <f t="shared" si="81"/>
        <v>33.11999999999999</v>
      </c>
      <c r="H624" s="85">
        <f t="shared" si="81"/>
        <v>3.83</v>
      </c>
      <c r="I624" s="85">
        <f t="shared" si="81"/>
        <v>0</v>
      </c>
      <c r="J624" s="85">
        <f t="shared" si="81"/>
        <v>28.790000000000006</v>
      </c>
      <c r="K624" s="86">
        <f t="shared" si="81"/>
        <v>0</v>
      </c>
      <c r="L624" s="86">
        <f t="shared" si="81"/>
        <v>0</v>
      </c>
      <c r="M624" s="112"/>
      <c r="N624" s="112"/>
      <c r="O624" s="112"/>
      <c r="P624" s="112">
        <f t="shared" ref="P624:BH624" si="82">SUM(P625:P648)</f>
        <v>3.83</v>
      </c>
      <c r="Q624" s="112">
        <f t="shared" si="82"/>
        <v>0</v>
      </c>
      <c r="R624" s="112">
        <f t="shared" si="82"/>
        <v>0</v>
      </c>
      <c r="S624" s="112">
        <f t="shared" si="82"/>
        <v>0</v>
      </c>
      <c r="T624" s="112">
        <f t="shared" si="82"/>
        <v>0</v>
      </c>
      <c r="U624" s="112">
        <f t="shared" si="82"/>
        <v>0</v>
      </c>
      <c r="V624" s="112">
        <f t="shared" si="82"/>
        <v>0</v>
      </c>
      <c r="W624" s="112">
        <f t="shared" si="82"/>
        <v>0</v>
      </c>
      <c r="X624" s="112">
        <f t="shared" si="82"/>
        <v>10.6</v>
      </c>
      <c r="Y624" s="112">
        <f t="shared" si="82"/>
        <v>3.12</v>
      </c>
      <c r="Z624" s="112">
        <f t="shared" si="82"/>
        <v>4.4300000000000006</v>
      </c>
      <c r="AA624" s="112">
        <f t="shared" si="82"/>
        <v>2.48</v>
      </c>
      <c r="AB624" s="112">
        <f t="shared" si="82"/>
        <v>0</v>
      </c>
      <c r="AC624" s="112">
        <f t="shared" si="82"/>
        <v>0</v>
      </c>
      <c r="AD624" s="112">
        <f t="shared" si="82"/>
        <v>0</v>
      </c>
      <c r="AE624" s="112">
        <f t="shared" si="82"/>
        <v>0</v>
      </c>
      <c r="AF624" s="112">
        <f t="shared" si="82"/>
        <v>0</v>
      </c>
      <c r="AG624" s="112">
        <f t="shared" si="82"/>
        <v>0</v>
      </c>
      <c r="AH624" s="112">
        <f t="shared" si="82"/>
        <v>0</v>
      </c>
      <c r="AI624" s="112">
        <f t="shared" si="82"/>
        <v>0</v>
      </c>
      <c r="AJ624" s="112">
        <f t="shared" si="82"/>
        <v>0</v>
      </c>
      <c r="AK624" s="112">
        <f t="shared" si="82"/>
        <v>0</v>
      </c>
      <c r="AL624" s="112">
        <f t="shared" si="82"/>
        <v>0</v>
      </c>
      <c r="AM624" s="112">
        <f t="shared" si="82"/>
        <v>0</v>
      </c>
      <c r="AN624" s="112">
        <f t="shared" si="82"/>
        <v>0</v>
      </c>
      <c r="AO624" s="112">
        <f t="shared" si="82"/>
        <v>0</v>
      </c>
      <c r="AP624" s="112">
        <f t="shared" si="82"/>
        <v>0</v>
      </c>
      <c r="AQ624" s="112">
        <f t="shared" si="82"/>
        <v>3.8400000000000003</v>
      </c>
      <c r="AR624" s="112">
        <f t="shared" si="82"/>
        <v>1.22</v>
      </c>
      <c r="AS624" s="112">
        <f t="shared" si="82"/>
        <v>0</v>
      </c>
      <c r="AT624" s="112">
        <f t="shared" si="82"/>
        <v>0</v>
      </c>
      <c r="AU624" s="112">
        <f t="shared" si="82"/>
        <v>0</v>
      </c>
      <c r="AV624" s="112">
        <f t="shared" si="82"/>
        <v>0</v>
      </c>
      <c r="AW624" s="112">
        <f t="shared" si="82"/>
        <v>0</v>
      </c>
      <c r="AX624" s="112">
        <f t="shared" si="82"/>
        <v>0</v>
      </c>
      <c r="AY624" s="112">
        <f t="shared" si="82"/>
        <v>0</v>
      </c>
      <c r="AZ624" s="112">
        <f t="shared" si="82"/>
        <v>0</v>
      </c>
      <c r="BA624" s="112">
        <f t="shared" si="82"/>
        <v>0</v>
      </c>
      <c r="BB624" s="112">
        <f t="shared" si="82"/>
        <v>0</v>
      </c>
      <c r="BC624" s="112">
        <f t="shared" si="82"/>
        <v>0</v>
      </c>
      <c r="BD624" s="112">
        <f t="shared" si="82"/>
        <v>0</v>
      </c>
      <c r="BE624" s="112">
        <f t="shared" si="82"/>
        <v>3.1</v>
      </c>
      <c r="BF624" s="112">
        <f t="shared" si="82"/>
        <v>0</v>
      </c>
      <c r="BG624" s="112">
        <f t="shared" si="82"/>
        <v>0</v>
      </c>
      <c r="BH624" s="112">
        <f t="shared" si="82"/>
        <v>0</v>
      </c>
      <c r="BI624" s="112"/>
      <c r="BJ624" s="78">
        <f t="shared" si="70"/>
        <v>0</v>
      </c>
      <c r="BK624" s="84"/>
      <c r="BL624" s="44">
        <v>34</v>
      </c>
      <c r="BM624" s="79">
        <f t="shared" si="68"/>
        <v>0</v>
      </c>
      <c r="BN624" s="75"/>
      <c r="BO624" s="75"/>
    </row>
    <row r="625" spans="1:67" s="4" customFormat="1" x14ac:dyDescent="0.3">
      <c r="A625" s="48">
        <v>1</v>
      </c>
      <c r="B625" s="42" t="s">
        <v>61</v>
      </c>
      <c r="C625" s="43" t="s">
        <v>52</v>
      </c>
      <c r="D625" s="41">
        <v>4.9000000000000004</v>
      </c>
      <c r="E625" s="41">
        <v>2.8</v>
      </c>
      <c r="F625" s="41">
        <v>2.1</v>
      </c>
      <c r="G625" s="41">
        <v>0</v>
      </c>
      <c r="H625" s="41"/>
      <c r="I625" s="39"/>
      <c r="J625" s="41">
        <f>SUM(V625:BG625)</f>
        <v>2.1</v>
      </c>
      <c r="K625" s="42" t="s">
        <v>900</v>
      </c>
      <c r="L625" s="42" t="s">
        <v>58</v>
      </c>
      <c r="M625" s="43">
        <v>16</v>
      </c>
      <c r="N625" s="210">
        <v>481</v>
      </c>
      <c r="O625" s="43"/>
      <c r="P625" s="105"/>
      <c r="Q625" s="84"/>
      <c r="R625" s="84"/>
      <c r="S625" s="84"/>
      <c r="T625" s="84"/>
      <c r="U625" s="84"/>
      <c r="V625" s="84"/>
      <c r="W625" s="84"/>
      <c r="X625" s="84">
        <v>2.1</v>
      </c>
      <c r="Y625" s="84"/>
      <c r="Z625" s="84"/>
      <c r="AA625" s="84"/>
      <c r="AB625" s="84"/>
      <c r="AC625" s="84"/>
      <c r="AD625" s="84"/>
      <c r="AE625" s="84"/>
      <c r="AF625" s="84"/>
      <c r="AG625" s="84"/>
      <c r="AH625" s="84"/>
      <c r="AI625" s="84"/>
      <c r="AJ625" s="84"/>
      <c r="AK625" s="84"/>
      <c r="AL625" s="84"/>
      <c r="AM625" s="84"/>
      <c r="AN625" s="84"/>
      <c r="AO625" s="84"/>
      <c r="AP625" s="84"/>
      <c r="AQ625" s="84"/>
      <c r="AR625" s="84"/>
      <c r="AS625" s="84"/>
      <c r="AT625" s="84"/>
      <c r="AU625" s="84"/>
      <c r="AV625" s="84"/>
      <c r="AW625" s="84"/>
      <c r="AX625" s="84"/>
      <c r="AY625" s="84"/>
      <c r="AZ625" s="84"/>
      <c r="BA625" s="84"/>
      <c r="BB625" s="84"/>
      <c r="BC625" s="84"/>
      <c r="BD625" s="84"/>
      <c r="BE625" s="84"/>
      <c r="BF625" s="84"/>
      <c r="BG625" s="84"/>
      <c r="BH625" s="84"/>
      <c r="BI625" s="84"/>
      <c r="BJ625" s="78">
        <f t="shared" si="70"/>
        <v>0</v>
      </c>
      <c r="BK625" s="84"/>
      <c r="BL625" s="44">
        <v>34</v>
      </c>
      <c r="BM625" s="79">
        <f t="shared" si="68"/>
        <v>0</v>
      </c>
      <c r="BN625" s="75"/>
      <c r="BO625" s="75"/>
    </row>
    <row r="626" spans="1:67" s="4" customFormat="1" x14ac:dyDescent="0.3">
      <c r="A626" s="48">
        <v>2</v>
      </c>
      <c r="B626" s="42" t="s">
        <v>1099</v>
      </c>
      <c r="C626" s="43" t="s">
        <v>52</v>
      </c>
      <c r="D626" s="39">
        <v>10.5</v>
      </c>
      <c r="E626" s="39">
        <v>8.5</v>
      </c>
      <c r="F626" s="39">
        <v>2</v>
      </c>
      <c r="G626" s="39">
        <f>F626-1.45</f>
        <v>0.55000000000000004</v>
      </c>
      <c r="H626" s="39"/>
      <c r="I626" s="39"/>
      <c r="J626" s="39">
        <v>1.45</v>
      </c>
      <c r="K626" s="117" t="s">
        <v>67</v>
      </c>
      <c r="L626" s="117" t="s">
        <v>67</v>
      </c>
      <c r="M626" s="43">
        <v>50</v>
      </c>
      <c r="N626" s="210">
        <v>482</v>
      </c>
      <c r="O626" s="43"/>
      <c r="P626" s="48"/>
      <c r="Q626" s="48"/>
      <c r="R626" s="48"/>
      <c r="S626" s="48"/>
      <c r="T626" s="48"/>
      <c r="U626" s="48"/>
      <c r="V626" s="48"/>
      <c r="W626" s="48"/>
      <c r="X626" s="48"/>
      <c r="Y626" s="48"/>
      <c r="Z626" s="48">
        <v>0.65</v>
      </c>
      <c r="AA626" s="48">
        <v>0.3</v>
      </c>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v>0.5</v>
      </c>
      <c r="BF626" s="48"/>
      <c r="BG626" s="48"/>
      <c r="BH626" s="48"/>
      <c r="BI626" s="48"/>
      <c r="BJ626" s="78">
        <f t="shared" si="70"/>
        <v>0</v>
      </c>
      <c r="BK626" s="115"/>
      <c r="BL626" s="44">
        <v>34</v>
      </c>
      <c r="BM626" s="79">
        <f t="shared" si="68"/>
        <v>0</v>
      </c>
      <c r="BN626" s="75"/>
      <c r="BO626" s="75"/>
    </row>
    <row r="627" spans="1:67" s="4" customFormat="1" x14ac:dyDescent="0.3">
      <c r="A627" s="48">
        <v>3</v>
      </c>
      <c r="B627" s="42" t="s">
        <v>77</v>
      </c>
      <c r="C627" s="43" t="s">
        <v>52</v>
      </c>
      <c r="D627" s="39">
        <v>4.4000000000000004</v>
      </c>
      <c r="E627" s="39">
        <v>2.8000000000000003</v>
      </c>
      <c r="F627" s="39">
        <v>1.6</v>
      </c>
      <c r="G627" s="39">
        <v>1.6</v>
      </c>
      <c r="H627" s="39"/>
      <c r="I627" s="39"/>
      <c r="J627" s="39"/>
      <c r="K627" s="42" t="s">
        <v>912</v>
      </c>
      <c r="L627" s="117" t="s">
        <v>67</v>
      </c>
      <c r="M627" s="43">
        <v>57</v>
      </c>
      <c r="N627" s="210">
        <v>483</v>
      </c>
      <c r="O627" s="43"/>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78">
        <f t="shared" si="70"/>
        <v>0</v>
      </c>
      <c r="BK627" s="115"/>
      <c r="BL627" s="44">
        <v>34</v>
      </c>
      <c r="BM627" s="79">
        <f t="shared" si="68"/>
        <v>0</v>
      </c>
      <c r="BN627" s="75"/>
      <c r="BO627" s="75"/>
    </row>
    <row r="628" spans="1:67" s="4" customFormat="1" ht="46.8" x14ac:dyDescent="0.3">
      <c r="A628" s="48">
        <v>4</v>
      </c>
      <c r="B628" s="92" t="s">
        <v>519</v>
      </c>
      <c r="C628" s="48" t="s">
        <v>52</v>
      </c>
      <c r="D628" s="39">
        <v>9.2100000000000009</v>
      </c>
      <c r="E628" s="41">
        <v>4.67</v>
      </c>
      <c r="F628" s="39">
        <v>4.54</v>
      </c>
      <c r="G628" s="39">
        <v>2.57</v>
      </c>
      <c r="H628" s="41"/>
      <c r="I628" s="39"/>
      <c r="J628" s="107">
        <f>F628-G628</f>
        <v>1.9700000000000002</v>
      </c>
      <c r="K628" s="42" t="s">
        <v>85</v>
      </c>
      <c r="L628" s="42" t="s">
        <v>81</v>
      </c>
      <c r="M628" s="48">
        <v>48</v>
      </c>
      <c r="N628" s="206">
        <v>484</v>
      </c>
      <c r="O628" s="48"/>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628" s="84"/>
      <c r="AN628" s="84"/>
      <c r="AO628" s="84"/>
      <c r="AP628" s="84"/>
      <c r="AQ628" s="84">
        <v>1</v>
      </c>
      <c r="AR628" s="84">
        <v>0.97</v>
      </c>
      <c r="AS628" s="84"/>
      <c r="AT628" s="84"/>
      <c r="AU628" s="84"/>
      <c r="AV628" s="84"/>
      <c r="AW628" s="84"/>
      <c r="AX628" s="84"/>
      <c r="AY628" s="84"/>
      <c r="AZ628" s="84"/>
      <c r="BA628" s="84"/>
      <c r="BB628" s="84"/>
      <c r="BC628" s="84"/>
      <c r="BD628" s="84"/>
      <c r="BE628" s="84"/>
      <c r="BF628" s="84"/>
      <c r="BG628" s="84"/>
      <c r="BH628" s="84"/>
      <c r="BI628" s="84"/>
      <c r="BJ628" s="78">
        <f t="shared" si="70"/>
        <v>0</v>
      </c>
      <c r="BK628" s="84"/>
      <c r="BL628" s="44">
        <v>34</v>
      </c>
      <c r="BM628" s="79">
        <f t="shared" si="68"/>
        <v>0</v>
      </c>
      <c r="BN628" s="75"/>
      <c r="BO628" s="75"/>
    </row>
    <row r="629" spans="1:67" s="4" customFormat="1" ht="31.2" x14ac:dyDescent="0.3">
      <c r="A629" s="48">
        <v>5</v>
      </c>
      <c r="B629" s="42" t="s">
        <v>518</v>
      </c>
      <c r="C629" s="48" t="s">
        <v>52</v>
      </c>
      <c r="D629" s="41">
        <v>6.4</v>
      </c>
      <c r="E629" s="41">
        <v>1.2</v>
      </c>
      <c r="F629" s="41">
        <f>D629-E629</f>
        <v>5.2</v>
      </c>
      <c r="G629" s="41">
        <v>5.2</v>
      </c>
      <c r="H629" s="41"/>
      <c r="I629" s="81"/>
      <c r="J629" s="41"/>
      <c r="K629" s="42" t="s">
        <v>1042</v>
      </c>
      <c r="L629" s="42" t="s">
        <v>93</v>
      </c>
      <c r="M629" s="48">
        <v>42</v>
      </c>
      <c r="N629" s="206">
        <v>485</v>
      </c>
      <c r="O629" s="48"/>
      <c r="P629" s="89"/>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c r="BB629" s="90"/>
      <c r="BC629" s="90"/>
      <c r="BD629" s="90"/>
      <c r="BE629" s="90"/>
      <c r="BF629" s="90"/>
      <c r="BG629" s="90"/>
      <c r="BH629" s="90"/>
      <c r="BI629" s="90"/>
      <c r="BJ629" s="78">
        <f t="shared" si="70"/>
        <v>0</v>
      </c>
      <c r="BK629" s="84"/>
      <c r="BL629" s="44">
        <v>34</v>
      </c>
      <c r="BM629" s="79">
        <f t="shared" si="68"/>
        <v>0</v>
      </c>
      <c r="BN629" s="75"/>
      <c r="BO629" s="75"/>
    </row>
    <row r="630" spans="1:67" s="4" customFormat="1" ht="31.2" x14ac:dyDescent="0.3">
      <c r="A630" s="48">
        <v>6</v>
      </c>
      <c r="B630" s="50" t="s">
        <v>1098</v>
      </c>
      <c r="C630" s="39" t="s">
        <v>52</v>
      </c>
      <c r="D630" s="39">
        <v>2.6</v>
      </c>
      <c r="E630" s="39"/>
      <c r="F630" s="39">
        <v>2.6</v>
      </c>
      <c r="G630" s="39">
        <v>1.6</v>
      </c>
      <c r="H630" s="39"/>
      <c r="I630" s="39"/>
      <c r="J630" s="39">
        <v>1</v>
      </c>
      <c r="K630" s="50" t="s">
        <v>122</v>
      </c>
      <c r="L630" s="50" t="s">
        <v>102</v>
      </c>
      <c r="M630" s="110">
        <v>20</v>
      </c>
      <c r="N630" s="211">
        <v>486</v>
      </c>
      <c r="O630" s="110"/>
      <c r="P630" s="39"/>
      <c r="Q630" s="39"/>
      <c r="R630" s="39"/>
      <c r="S630" s="39"/>
      <c r="T630" s="39"/>
      <c r="U630" s="39"/>
      <c r="V630" s="39"/>
      <c r="W630" s="39"/>
      <c r="X630" s="39">
        <v>1</v>
      </c>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39"/>
      <c r="BD630" s="39"/>
      <c r="BE630" s="39"/>
      <c r="BF630" s="39"/>
      <c r="BG630" s="39"/>
      <c r="BH630" s="39"/>
      <c r="BI630" s="39"/>
      <c r="BJ630" s="78">
        <f t="shared" si="70"/>
        <v>0</v>
      </c>
      <c r="BK630" s="39"/>
      <c r="BL630" s="44">
        <v>34</v>
      </c>
      <c r="BM630" s="79">
        <f t="shared" si="68"/>
        <v>0</v>
      </c>
      <c r="BN630" s="75"/>
      <c r="BO630" s="75"/>
    </row>
    <row r="631" spans="1:67" s="4" customFormat="1" ht="26.25" customHeight="1" x14ac:dyDescent="0.3">
      <c r="A631" s="48">
        <v>7</v>
      </c>
      <c r="B631" s="50" t="s">
        <v>1097</v>
      </c>
      <c r="C631" s="43" t="s">
        <v>52</v>
      </c>
      <c r="D631" s="41">
        <v>0.3</v>
      </c>
      <c r="E631" s="41"/>
      <c r="F631" s="41">
        <v>0.3</v>
      </c>
      <c r="G631" s="39">
        <v>0.3</v>
      </c>
      <c r="H631" s="39"/>
      <c r="I631" s="39"/>
      <c r="J631" s="39">
        <v>0</v>
      </c>
      <c r="K631" s="50" t="s">
        <v>156</v>
      </c>
      <c r="L631" s="50" t="s">
        <v>154</v>
      </c>
      <c r="M631" s="110">
        <v>7</v>
      </c>
      <c r="N631" s="211">
        <v>487</v>
      </c>
      <c r="O631" s="110"/>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c r="BC631" s="39"/>
      <c r="BD631" s="39"/>
      <c r="BE631" s="39"/>
      <c r="BF631" s="39"/>
      <c r="BG631" s="39"/>
      <c r="BH631" s="39"/>
      <c r="BI631" s="39"/>
      <c r="BJ631" s="78">
        <f t="shared" si="70"/>
        <v>0</v>
      </c>
      <c r="BK631" s="39"/>
      <c r="BL631" s="44">
        <v>34</v>
      </c>
      <c r="BM631" s="79">
        <f t="shared" si="68"/>
        <v>0</v>
      </c>
      <c r="BN631" s="75"/>
      <c r="BO631" s="75"/>
    </row>
    <row r="632" spans="1:67" s="4" customFormat="1" ht="22.5" customHeight="1" x14ac:dyDescent="0.3">
      <c r="A632" s="48">
        <v>8</v>
      </c>
      <c r="B632" s="50" t="s">
        <v>1097</v>
      </c>
      <c r="C632" s="43" t="s">
        <v>52</v>
      </c>
      <c r="D632" s="41">
        <v>0.3</v>
      </c>
      <c r="E632" s="41"/>
      <c r="F632" s="41">
        <v>0.3</v>
      </c>
      <c r="G632" s="39">
        <v>0.3</v>
      </c>
      <c r="H632" s="39"/>
      <c r="I632" s="39"/>
      <c r="J632" s="39">
        <v>0</v>
      </c>
      <c r="K632" s="50" t="s">
        <v>156</v>
      </c>
      <c r="L632" s="50" t="s">
        <v>154</v>
      </c>
      <c r="M632" s="110">
        <v>8</v>
      </c>
      <c r="N632" s="211">
        <v>488</v>
      </c>
      <c r="O632" s="110"/>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c r="BC632" s="39"/>
      <c r="BD632" s="39"/>
      <c r="BE632" s="39"/>
      <c r="BF632" s="39"/>
      <c r="BG632" s="39"/>
      <c r="BH632" s="39"/>
      <c r="BI632" s="39"/>
      <c r="BJ632" s="78">
        <f t="shared" ref="BJ632:BJ638" si="83">D632-E632-F632</f>
        <v>0</v>
      </c>
      <c r="BK632" s="39"/>
      <c r="BL632" s="44">
        <v>34</v>
      </c>
      <c r="BM632" s="79">
        <f t="shared" si="68"/>
        <v>0</v>
      </c>
      <c r="BN632" s="75"/>
      <c r="BO632" s="75"/>
    </row>
    <row r="633" spans="1:67" s="4" customFormat="1" ht="31.2" x14ac:dyDescent="0.3">
      <c r="A633" s="48">
        <v>9</v>
      </c>
      <c r="B633" s="50" t="s">
        <v>516</v>
      </c>
      <c r="C633" s="43" t="s">
        <v>52</v>
      </c>
      <c r="D633" s="39">
        <v>3.2</v>
      </c>
      <c r="E633" s="39">
        <v>1.6</v>
      </c>
      <c r="F633" s="39">
        <v>1.6</v>
      </c>
      <c r="G633" s="39">
        <v>1.35</v>
      </c>
      <c r="H633" s="39"/>
      <c r="I633" s="39"/>
      <c r="J633" s="39">
        <v>0.25</v>
      </c>
      <c r="K633" s="50" t="s">
        <v>173</v>
      </c>
      <c r="L633" s="50" t="s">
        <v>154</v>
      </c>
      <c r="M633" s="99">
        <v>31</v>
      </c>
      <c r="N633" s="207">
        <v>489</v>
      </c>
      <c r="O633" s="9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v>0.25</v>
      </c>
      <c r="AS633" s="39"/>
      <c r="AT633" s="39"/>
      <c r="AU633" s="39"/>
      <c r="AV633" s="39"/>
      <c r="AW633" s="39"/>
      <c r="AX633" s="39"/>
      <c r="AY633" s="39"/>
      <c r="AZ633" s="39"/>
      <c r="BA633" s="39"/>
      <c r="BB633" s="39"/>
      <c r="BC633" s="39"/>
      <c r="BD633" s="39"/>
      <c r="BE633" s="39"/>
      <c r="BF633" s="39"/>
      <c r="BG633" s="39"/>
      <c r="BH633" s="39"/>
      <c r="BI633" s="39"/>
      <c r="BJ633" s="78">
        <f t="shared" si="83"/>
        <v>0</v>
      </c>
      <c r="BK633" s="39"/>
      <c r="BL633" s="44">
        <v>34</v>
      </c>
      <c r="BM633" s="79">
        <f t="shared" si="68"/>
        <v>0</v>
      </c>
      <c r="BN633" s="75"/>
      <c r="BO633" s="75"/>
    </row>
    <row r="634" spans="1:67" s="4" customFormat="1" x14ac:dyDescent="0.3">
      <c r="A634" s="48">
        <v>10</v>
      </c>
      <c r="B634" s="50" t="s">
        <v>205</v>
      </c>
      <c r="C634" s="43" t="s">
        <v>52</v>
      </c>
      <c r="D634" s="41">
        <v>0.78</v>
      </c>
      <c r="E634" s="41"/>
      <c r="F634" s="41">
        <v>0.78</v>
      </c>
      <c r="G634" s="41">
        <v>0.78</v>
      </c>
      <c r="H634" s="41"/>
      <c r="I634" s="41"/>
      <c r="J634" s="39">
        <v>0</v>
      </c>
      <c r="K634" s="50" t="s">
        <v>206</v>
      </c>
      <c r="L634" s="50" t="s">
        <v>179</v>
      </c>
      <c r="M634" s="110">
        <v>33</v>
      </c>
      <c r="N634" s="211">
        <v>490</v>
      </c>
      <c r="O634" s="110"/>
      <c r="P634" s="50"/>
      <c r="Q634" s="50"/>
      <c r="R634" s="50"/>
      <c r="S634" s="50"/>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78">
        <f t="shared" si="83"/>
        <v>0</v>
      </c>
      <c r="BK634" s="84"/>
      <c r="BL634" s="44">
        <v>34</v>
      </c>
      <c r="BM634" s="79">
        <f t="shared" si="68"/>
        <v>0</v>
      </c>
      <c r="BN634" s="75"/>
      <c r="BO634" s="75"/>
    </row>
    <row r="635" spans="1:67" s="4" customFormat="1" ht="46.8" x14ac:dyDescent="0.3">
      <c r="A635" s="48">
        <v>11</v>
      </c>
      <c r="B635" s="42" t="s">
        <v>245</v>
      </c>
      <c r="C635" s="48" t="s">
        <v>52</v>
      </c>
      <c r="D635" s="39">
        <v>25.8</v>
      </c>
      <c r="E635" s="39">
        <v>10.52</v>
      </c>
      <c r="F635" s="39">
        <v>15.28</v>
      </c>
      <c r="G635" s="39">
        <v>11</v>
      </c>
      <c r="H635" s="39"/>
      <c r="I635" s="39"/>
      <c r="J635" s="39">
        <v>4.28</v>
      </c>
      <c r="K635" s="42" t="s">
        <v>1045</v>
      </c>
      <c r="L635" s="42" t="s">
        <v>233</v>
      </c>
      <c r="M635" s="49">
        <v>33</v>
      </c>
      <c r="N635" s="208">
        <v>491</v>
      </c>
      <c r="O635" s="49"/>
      <c r="P635" s="84"/>
      <c r="Q635" s="84"/>
      <c r="R635" s="84"/>
      <c r="S635" s="84"/>
      <c r="T635" s="84"/>
      <c r="U635" s="84"/>
      <c r="V635" s="84"/>
      <c r="W635" s="84"/>
      <c r="X635" s="84"/>
      <c r="Y635" s="84"/>
      <c r="Z635" s="84">
        <v>1</v>
      </c>
      <c r="AA635" s="84"/>
      <c r="AB635" s="84"/>
      <c r="AC635" s="84"/>
      <c r="AD635" s="84"/>
      <c r="AE635" s="84"/>
      <c r="AF635" s="84"/>
      <c r="AG635" s="84"/>
      <c r="AH635" s="84"/>
      <c r="AI635" s="84"/>
      <c r="AJ635" s="84"/>
      <c r="AK635" s="84"/>
      <c r="AL635" s="84"/>
      <c r="AM635" s="84"/>
      <c r="AN635" s="84"/>
      <c r="AO635" s="84"/>
      <c r="AP635" s="84"/>
      <c r="AQ635" s="84">
        <f>1.1+1.39</f>
        <v>2.4900000000000002</v>
      </c>
      <c r="AR635" s="84"/>
      <c r="AS635" s="84"/>
      <c r="AT635" s="84"/>
      <c r="AU635" s="84"/>
      <c r="AV635" s="84"/>
      <c r="AW635" s="84"/>
      <c r="AX635" s="84"/>
      <c r="AY635" s="84"/>
      <c r="AZ635" s="84"/>
      <c r="BA635" s="84"/>
      <c r="BB635" s="84"/>
      <c r="BC635" s="84"/>
      <c r="BD635" s="84"/>
      <c r="BE635" s="84">
        <v>0.79</v>
      </c>
      <c r="BF635" s="84"/>
      <c r="BG635" s="84"/>
      <c r="BH635" s="84"/>
      <c r="BI635" s="84"/>
      <c r="BJ635" s="78">
        <f t="shared" si="83"/>
        <v>0</v>
      </c>
      <c r="BK635" s="97"/>
      <c r="BL635" s="44">
        <v>34</v>
      </c>
      <c r="BM635" s="79">
        <f t="shared" si="68"/>
        <v>0</v>
      </c>
      <c r="BN635" s="75"/>
      <c r="BO635" s="75"/>
    </row>
    <row r="636" spans="1:67" s="4" customFormat="1" ht="46.8" x14ac:dyDescent="0.3">
      <c r="A636" s="48">
        <v>12</v>
      </c>
      <c r="B636" s="42" t="s">
        <v>517</v>
      </c>
      <c r="C636" s="43" t="s">
        <v>52</v>
      </c>
      <c r="D636" s="39">
        <v>7.5</v>
      </c>
      <c r="E636" s="39"/>
      <c r="F636" s="39">
        <v>7.5</v>
      </c>
      <c r="G636" s="39"/>
      <c r="H636" s="39"/>
      <c r="I636" s="39"/>
      <c r="J636" s="39">
        <v>7.5</v>
      </c>
      <c r="K636" s="42" t="s">
        <v>247</v>
      </c>
      <c r="L636" s="42" t="s">
        <v>247</v>
      </c>
      <c r="M636" s="43">
        <v>29</v>
      </c>
      <c r="N636" s="210">
        <v>492</v>
      </c>
      <c r="O636" s="43" t="s">
        <v>1197</v>
      </c>
      <c r="P636" s="84"/>
      <c r="Q636" s="84"/>
      <c r="R636" s="84"/>
      <c r="S636" s="84"/>
      <c r="T636" s="84"/>
      <c r="U636" s="84"/>
      <c r="V636" s="84"/>
      <c r="W636" s="84"/>
      <c r="X636" s="84">
        <v>7.5</v>
      </c>
      <c r="Y636" s="84"/>
      <c r="Z636" s="84"/>
      <c r="AA636" s="84"/>
      <c r="AB636" s="84"/>
      <c r="AC636" s="84"/>
      <c r="AD636" s="84"/>
      <c r="AE636" s="84"/>
      <c r="AF636" s="84"/>
      <c r="AG636" s="84"/>
      <c r="AH636" s="84"/>
      <c r="AI636" s="84"/>
      <c r="AJ636" s="84"/>
      <c r="AK636" s="84"/>
      <c r="AL636" s="84"/>
      <c r="AM636" s="84"/>
      <c r="AN636" s="84"/>
      <c r="AO636" s="84"/>
      <c r="AP636" s="84"/>
      <c r="AQ636" s="84"/>
      <c r="AR636" s="84"/>
      <c r="AS636" s="84"/>
      <c r="AT636" s="84"/>
      <c r="AU636" s="84"/>
      <c r="AV636" s="84"/>
      <c r="AW636" s="84"/>
      <c r="AX636" s="84"/>
      <c r="AY636" s="84"/>
      <c r="AZ636" s="84"/>
      <c r="BA636" s="84"/>
      <c r="BB636" s="84"/>
      <c r="BC636" s="84"/>
      <c r="BD636" s="84"/>
      <c r="BE636" s="118"/>
      <c r="BF636" s="84"/>
      <c r="BG636" s="84"/>
      <c r="BH636" s="84"/>
      <c r="BI636" s="84"/>
      <c r="BJ636" s="78">
        <f t="shared" si="83"/>
        <v>0</v>
      </c>
      <c r="BK636" s="84"/>
      <c r="BL636" s="44">
        <v>34</v>
      </c>
      <c r="BM636" s="79">
        <f t="shared" si="68"/>
        <v>0</v>
      </c>
      <c r="BN636" s="75"/>
      <c r="BO636" s="75"/>
    </row>
    <row r="637" spans="1:67" s="4" customFormat="1" ht="30" customHeight="1" x14ac:dyDescent="0.3">
      <c r="A637" s="48">
        <v>13</v>
      </c>
      <c r="B637" s="42" t="s">
        <v>266</v>
      </c>
      <c r="C637" s="48" t="s">
        <v>52</v>
      </c>
      <c r="D637" s="41">
        <v>5.56</v>
      </c>
      <c r="E637" s="41">
        <v>4.2</v>
      </c>
      <c r="F637" s="41">
        <v>1.36</v>
      </c>
      <c r="G637" s="39">
        <v>0.4</v>
      </c>
      <c r="H637" s="39"/>
      <c r="I637" s="39"/>
      <c r="J637" s="39">
        <v>0.96</v>
      </c>
      <c r="K637" s="42" t="s">
        <v>1006</v>
      </c>
      <c r="L637" s="42" t="s">
        <v>261</v>
      </c>
      <c r="M637" s="48">
        <v>12</v>
      </c>
      <c r="N637" s="206">
        <v>493</v>
      </c>
      <c r="O637" s="48"/>
      <c r="P637" s="84"/>
      <c r="Q637" s="84"/>
      <c r="R637" s="84"/>
      <c r="S637" s="84"/>
      <c r="T637" s="84"/>
      <c r="U637" s="84"/>
      <c r="V637" s="84"/>
      <c r="W637" s="84"/>
      <c r="X637" s="84"/>
      <c r="Y637" s="84"/>
      <c r="Z637" s="84"/>
      <c r="AA637" s="84"/>
      <c r="AB637" s="84"/>
      <c r="AC637" s="84"/>
      <c r="AD637" s="84"/>
      <c r="AE637" s="84"/>
      <c r="AF637" s="84"/>
      <c r="AG637" s="118"/>
      <c r="AH637" s="84"/>
      <c r="AI637" s="84"/>
      <c r="AJ637" s="84"/>
      <c r="AK637" s="84"/>
      <c r="AL637" s="84"/>
      <c r="AM637" s="84"/>
      <c r="AN637" s="84"/>
      <c r="AO637" s="84"/>
      <c r="AP637" s="84"/>
      <c r="AQ637" s="84"/>
      <c r="AR637" s="84"/>
      <c r="AS637" s="84"/>
      <c r="AT637" s="84"/>
      <c r="AU637" s="84"/>
      <c r="AV637" s="84"/>
      <c r="AW637" s="84"/>
      <c r="AX637" s="84"/>
      <c r="AY637" s="84"/>
      <c r="AZ637" s="84"/>
      <c r="BA637" s="84"/>
      <c r="BB637" s="84"/>
      <c r="BC637" s="84"/>
      <c r="BD637" s="84"/>
      <c r="BE637" s="84">
        <v>0.96</v>
      </c>
      <c r="BF637" s="84"/>
      <c r="BG637" s="84"/>
      <c r="BH637" s="84"/>
      <c r="BI637" s="84"/>
      <c r="BJ637" s="78">
        <f t="shared" si="83"/>
        <v>0</v>
      </c>
      <c r="BK637" s="84"/>
      <c r="BL637" s="44">
        <v>34</v>
      </c>
      <c r="BM637" s="79">
        <f t="shared" ref="BM637:BM696" si="84">J637-SUM(V637:BH637)</f>
        <v>0</v>
      </c>
      <c r="BN637" s="75"/>
      <c r="BO637" s="75"/>
    </row>
    <row r="638" spans="1:67" s="4" customFormat="1" x14ac:dyDescent="0.3">
      <c r="A638" s="48">
        <v>15</v>
      </c>
      <c r="B638" s="42" t="s">
        <v>362</v>
      </c>
      <c r="C638" s="48" t="s">
        <v>52</v>
      </c>
      <c r="D638" s="39">
        <v>1.73</v>
      </c>
      <c r="E638" s="39"/>
      <c r="F638" s="39">
        <v>1.73</v>
      </c>
      <c r="G638" s="39">
        <f>1.2-0.35+0.53</f>
        <v>1.38</v>
      </c>
      <c r="H638" s="39"/>
      <c r="I638" s="39"/>
      <c r="J638" s="39">
        <f>SUM(X638:BG638)</f>
        <v>0.35</v>
      </c>
      <c r="K638" s="42"/>
      <c r="L638" s="42" t="s">
        <v>347</v>
      </c>
      <c r="M638" s="44">
        <v>29</v>
      </c>
      <c r="N638" s="209">
        <v>495</v>
      </c>
      <c r="O638" s="4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638" s="84"/>
      <c r="AN638" s="84"/>
      <c r="AO638" s="84"/>
      <c r="AP638" s="84"/>
      <c r="AQ638" s="84">
        <v>0.35</v>
      </c>
      <c r="AR638" s="84"/>
      <c r="AS638" s="84"/>
      <c r="AT638" s="84"/>
      <c r="AU638" s="84"/>
      <c r="AV638" s="84"/>
      <c r="AW638" s="84"/>
      <c r="AX638" s="84"/>
      <c r="AY638" s="84"/>
      <c r="AZ638" s="84"/>
      <c r="BA638" s="84"/>
      <c r="BB638" s="84"/>
      <c r="BC638" s="84"/>
      <c r="BD638" s="84"/>
      <c r="BE638" s="84"/>
      <c r="BF638" s="84"/>
      <c r="BG638" s="84"/>
      <c r="BH638" s="79">
        <f>J638-SUM(V638:BG638)</f>
        <v>0</v>
      </c>
      <c r="BI638" s="79"/>
      <c r="BJ638" s="78">
        <f t="shared" si="83"/>
        <v>0</v>
      </c>
      <c r="BK638" s="48"/>
      <c r="BL638" s="44">
        <v>34</v>
      </c>
      <c r="BM638" s="79">
        <f t="shared" si="84"/>
        <v>0</v>
      </c>
      <c r="BN638" s="75"/>
      <c r="BO638" s="75"/>
    </row>
    <row r="639" spans="1:67" s="4" customFormat="1" x14ac:dyDescent="0.3">
      <c r="A639" s="48">
        <v>16</v>
      </c>
      <c r="B639" s="42" t="s">
        <v>344</v>
      </c>
      <c r="C639" s="48" t="s">
        <v>52</v>
      </c>
      <c r="D639" s="39">
        <v>6.66</v>
      </c>
      <c r="E639" s="39">
        <f>3.78+0.58</f>
        <v>4.3599999999999994</v>
      </c>
      <c r="F639" s="39">
        <v>2.2999999999999998</v>
      </c>
      <c r="G639" s="39">
        <v>2.2999999999999998</v>
      </c>
      <c r="H639" s="39"/>
      <c r="I639" s="39"/>
      <c r="J639" s="39"/>
      <c r="K639" s="42"/>
      <c r="L639" s="42" t="s">
        <v>294</v>
      </c>
      <c r="M639" s="44">
        <v>51</v>
      </c>
      <c r="N639" s="209">
        <v>496</v>
      </c>
      <c r="O639" s="44"/>
      <c r="P639" s="84"/>
      <c r="Q639" s="84"/>
      <c r="R639" s="84"/>
      <c r="S639" s="84"/>
      <c r="T639" s="84"/>
      <c r="U639" s="84"/>
      <c r="V639" s="84"/>
      <c r="W639" s="84"/>
      <c r="X639" s="84"/>
      <c r="Y639" s="84"/>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c r="BI639" s="48"/>
      <c r="BJ639" s="78"/>
      <c r="BK639" s="84"/>
      <c r="BL639" s="44">
        <v>34</v>
      </c>
      <c r="BM639" s="79">
        <f t="shared" si="84"/>
        <v>0</v>
      </c>
      <c r="BN639" s="75"/>
      <c r="BO639" s="75"/>
    </row>
    <row r="640" spans="1:67" s="4" customFormat="1" ht="31.2" x14ac:dyDescent="0.3">
      <c r="A640" s="48">
        <v>17</v>
      </c>
      <c r="B640" s="42" t="s">
        <v>381</v>
      </c>
      <c r="C640" s="48" t="s">
        <v>52</v>
      </c>
      <c r="D640" s="39">
        <v>1.4</v>
      </c>
      <c r="E640" s="39"/>
      <c r="F640" s="39">
        <v>1.4</v>
      </c>
      <c r="G640" s="39">
        <v>0.9</v>
      </c>
      <c r="H640" s="39"/>
      <c r="I640" s="39"/>
      <c r="J640" s="39">
        <f>SUM(Z640:BG640)</f>
        <v>0.5</v>
      </c>
      <c r="K640" s="42" t="s">
        <v>786</v>
      </c>
      <c r="L640" s="42" t="s">
        <v>377</v>
      </c>
      <c r="M640" s="43">
        <v>10</v>
      </c>
      <c r="N640" s="210">
        <v>497</v>
      </c>
      <c r="O640" s="43"/>
      <c r="P640" s="84"/>
      <c r="Q640" s="84"/>
      <c r="R640" s="84"/>
      <c r="S640" s="84"/>
      <c r="T640" s="84"/>
      <c r="U640" s="84"/>
      <c r="V640" s="84"/>
      <c r="W640" s="84"/>
      <c r="X640" s="84"/>
      <c r="Y640" s="84"/>
      <c r="Z640" s="84"/>
      <c r="AA640" s="84">
        <v>0.06</v>
      </c>
      <c r="AB640" s="84"/>
      <c r="AC640" s="84"/>
      <c r="AD640" s="84"/>
      <c r="AE640" s="84"/>
      <c r="AF640" s="84"/>
      <c r="AG640" s="84"/>
      <c r="AH640" s="84"/>
      <c r="AI640" s="84"/>
      <c r="AJ640" s="84"/>
      <c r="AK640" s="84"/>
      <c r="AL640" s="84"/>
      <c r="AM640" s="84"/>
      <c r="AN640" s="84"/>
      <c r="AO640" s="84"/>
      <c r="AP640" s="84"/>
      <c r="AQ640" s="84"/>
      <c r="AR640" s="84"/>
      <c r="AS640" s="84"/>
      <c r="AT640" s="84"/>
      <c r="AU640" s="84"/>
      <c r="AV640" s="84"/>
      <c r="AW640" s="84"/>
      <c r="AX640" s="84"/>
      <c r="AY640" s="84"/>
      <c r="AZ640" s="84"/>
      <c r="BA640" s="84"/>
      <c r="BB640" s="84"/>
      <c r="BC640" s="84"/>
      <c r="BD640" s="84"/>
      <c r="BE640" s="84">
        <v>0.44</v>
      </c>
      <c r="BF640" s="84"/>
      <c r="BG640" s="84"/>
      <c r="BH640" s="84"/>
      <c r="BI640" s="84"/>
      <c r="BJ640" s="78">
        <f t="shared" ref="BJ640:BJ660" si="85">D640-E640-F640</f>
        <v>0</v>
      </c>
      <c r="BK640" s="84"/>
      <c r="BL640" s="44">
        <v>34</v>
      </c>
      <c r="BM640" s="79">
        <f t="shared" si="84"/>
        <v>0</v>
      </c>
      <c r="BN640" s="75"/>
      <c r="BO640" s="75"/>
    </row>
    <row r="641" spans="1:67" s="4" customFormat="1" ht="31.2" x14ac:dyDescent="0.3">
      <c r="A641" s="48">
        <v>18</v>
      </c>
      <c r="B641" s="42" t="s">
        <v>61</v>
      </c>
      <c r="C641" s="48" t="s">
        <v>52</v>
      </c>
      <c r="D641" s="39">
        <v>0.8</v>
      </c>
      <c r="E641" s="39"/>
      <c r="F641" s="39">
        <v>0.8</v>
      </c>
      <c r="G641" s="39"/>
      <c r="H641" s="39"/>
      <c r="I641" s="39"/>
      <c r="J641" s="39">
        <f>SUM(Z641:BG641)</f>
        <v>0.8</v>
      </c>
      <c r="K641" s="42" t="s">
        <v>392</v>
      </c>
      <c r="L641" s="42" t="s">
        <v>377</v>
      </c>
      <c r="M641" s="44">
        <v>26</v>
      </c>
      <c r="N641" s="209">
        <v>498</v>
      </c>
      <c r="O641" s="44"/>
      <c r="P641" s="84"/>
      <c r="Q641" s="84"/>
      <c r="R641" s="84"/>
      <c r="S641" s="84"/>
      <c r="T641" s="84"/>
      <c r="U641" s="84"/>
      <c r="V641" s="84"/>
      <c r="W641" s="84"/>
      <c r="X641" s="84"/>
      <c r="Y641" s="84"/>
      <c r="Z641" s="84">
        <v>0.8</v>
      </c>
      <c r="AA641" s="84"/>
      <c r="AB641" s="84"/>
      <c r="AC641" s="84"/>
      <c r="AD641" s="84"/>
      <c r="AE641" s="84"/>
      <c r="AF641" s="84"/>
      <c r="AG641" s="84"/>
      <c r="AH641" s="84"/>
      <c r="AI641" s="84"/>
      <c r="AJ641" s="84"/>
      <c r="AK641" s="84"/>
      <c r="AL641" s="84"/>
      <c r="AM641" s="84"/>
      <c r="AN641" s="84"/>
      <c r="AO641" s="84"/>
      <c r="AP641" s="84"/>
      <c r="AQ641" s="84"/>
      <c r="AR641" s="84"/>
      <c r="AS641" s="84"/>
      <c r="AT641" s="84"/>
      <c r="AU641" s="84"/>
      <c r="AV641" s="84"/>
      <c r="AW641" s="84"/>
      <c r="AX641" s="84"/>
      <c r="AY641" s="84"/>
      <c r="AZ641" s="84"/>
      <c r="BA641" s="84"/>
      <c r="BB641" s="84"/>
      <c r="BC641" s="84"/>
      <c r="BD641" s="84"/>
      <c r="BE641" s="84"/>
      <c r="BF641" s="84"/>
      <c r="BG641" s="84"/>
      <c r="BH641" s="84"/>
      <c r="BI641" s="84"/>
      <c r="BJ641" s="78">
        <f t="shared" si="85"/>
        <v>0</v>
      </c>
      <c r="BK641" s="84"/>
      <c r="BL641" s="44">
        <v>34</v>
      </c>
      <c r="BM641" s="79">
        <f t="shared" si="84"/>
        <v>0</v>
      </c>
      <c r="BN641" s="75"/>
      <c r="BO641" s="75"/>
    </row>
    <row r="642" spans="1:67" s="4" customFormat="1" ht="46.8" x14ac:dyDescent="0.3">
      <c r="A642" s="48">
        <v>19</v>
      </c>
      <c r="B642" s="42" t="s">
        <v>61</v>
      </c>
      <c r="C642" s="48" t="s">
        <v>52</v>
      </c>
      <c r="D642" s="39">
        <f>0.65+0.89+3.12</f>
        <v>4.66</v>
      </c>
      <c r="E642" s="39"/>
      <c r="F642" s="39">
        <v>4.66</v>
      </c>
      <c r="G642" s="39">
        <f>0.89+0.24</f>
        <v>1.1299999999999999</v>
      </c>
      <c r="H642" s="39"/>
      <c r="I642" s="39"/>
      <c r="J642" s="39">
        <f>SUM(P642:BE642)</f>
        <v>3.5300000000000002</v>
      </c>
      <c r="K642" s="42" t="s">
        <v>398</v>
      </c>
      <c r="L642" s="42" t="s">
        <v>395</v>
      </c>
      <c r="M642" s="43">
        <v>22</v>
      </c>
      <c r="N642" s="210">
        <v>499</v>
      </c>
      <c r="O642" s="43"/>
      <c r="P642" s="119"/>
      <c r="Q642" s="119"/>
      <c r="R642" s="119"/>
      <c r="S642" s="119"/>
      <c r="T642" s="119"/>
      <c r="U642" s="119"/>
      <c r="V642" s="119"/>
      <c r="W642" s="119"/>
      <c r="X642" s="119"/>
      <c r="Y642" s="119">
        <v>3.12</v>
      </c>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19"/>
      <c r="BC642" s="119"/>
      <c r="BD642" s="119"/>
      <c r="BE642" s="119">
        <f>1.54-1.13</f>
        <v>0.41000000000000014</v>
      </c>
      <c r="BF642" s="119"/>
      <c r="BG642" s="119"/>
      <c r="BH642" s="119"/>
      <c r="BI642" s="119"/>
      <c r="BJ642" s="78">
        <f t="shared" si="85"/>
        <v>0</v>
      </c>
      <c r="BK642" s="84"/>
      <c r="BL642" s="44">
        <v>34</v>
      </c>
      <c r="BM642" s="79">
        <f t="shared" si="84"/>
        <v>0</v>
      </c>
      <c r="BN642" s="75"/>
      <c r="BO642" s="75"/>
    </row>
    <row r="643" spans="1:67" s="4" customFormat="1" ht="31.2" x14ac:dyDescent="0.3">
      <c r="A643" s="48">
        <v>20</v>
      </c>
      <c r="B643" s="42" t="s">
        <v>432</v>
      </c>
      <c r="C643" s="48" t="s">
        <v>52</v>
      </c>
      <c r="D643" s="39">
        <v>1.1000000000000001</v>
      </c>
      <c r="E643" s="39"/>
      <c r="F643" s="39">
        <v>1.1000000000000001</v>
      </c>
      <c r="G643" s="39">
        <v>1.1000000000000001</v>
      </c>
      <c r="H643" s="39"/>
      <c r="I643" s="39"/>
      <c r="J643" s="39">
        <f>SUM(P643:BG643)</f>
        <v>0</v>
      </c>
      <c r="K643" s="42" t="s">
        <v>433</v>
      </c>
      <c r="L643" s="42" t="s">
        <v>415</v>
      </c>
      <c r="M643" s="43">
        <v>23</v>
      </c>
      <c r="N643" s="210">
        <v>500</v>
      </c>
      <c r="O643" s="43"/>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643" s="84"/>
      <c r="AN643" s="84"/>
      <c r="AO643" s="84"/>
      <c r="AP643" s="84"/>
      <c r="AQ643" s="84"/>
      <c r="AR643" s="84"/>
      <c r="AS643" s="84"/>
      <c r="AT643" s="84"/>
      <c r="AU643" s="84"/>
      <c r="AV643" s="84"/>
      <c r="AW643" s="84"/>
      <c r="AX643" s="84"/>
      <c r="AY643" s="84"/>
      <c r="AZ643" s="84"/>
      <c r="BA643" s="84"/>
      <c r="BB643" s="84"/>
      <c r="BC643" s="84"/>
      <c r="BD643" s="84"/>
      <c r="BE643" s="84"/>
      <c r="BF643" s="84"/>
      <c r="BG643" s="84"/>
      <c r="BH643" s="84"/>
      <c r="BI643" s="84"/>
      <c r="BJ643" s="78">
        <f t="shared" si="85"/>
        <v>0</v>
      </c>
      <c r="BK643" s="84"/>
      <c r="BL643" s="44">
        <v>34</v>
      </c>
      <c r="BM643" s="79">
        <f t="shared" si="84"/>
        <v>0</v>
      </c>
      <c r="BN643" s="75"/>
      <c r="BO643" s="75"/>
    </row>
    <row r="644" spans="1:67" s="4" customFormat="1" x14ac:dyDescent="0.3">
      <c r="A644" s="48">
        <v>21</v>
      </c>
      <c r="B644" s="42" t="s">
        <v>434</v>
      </c>
      <c r="C644" s="48" t="s">
        <v>52</v>
      </c>
      <c r="D644" s="39">
        <v>0.66</v>
      </c>
      <c r="E644" s="39"/>
      <c r="F644" s="39">
        <v>0.66</v>
      </c>
      <c r="G644" s="39">
        <v>0.66</v>
      </c>
      <c r="H644" s="39"/>
      <c r="I644" s="39"/>
      <c r="J644" s="39">
        <f>SUM(P644:BG644)</f>
        <v>0</v>
      </c>
      <c r="K644" s="42" t="s">
        <v>441</v>
      </c>
      <c r="L644" s="42" t="s">
        <v>415</v>
      </c>
      <c r="M644" s="43">
        <v>31</v>
      </c>
      <c r="N644" s="210">
        <v>501</v>
      </c>
      <c r="O644" s="43"/>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c r="AO644" s="84"/>
      <c r="AP644" s="84"/>
      <c r="AQ644" s="84"/>
      <c r="AR644" s="84"/>
      <c r="AS644" s="84"/>
      <c r="AT644" s="84"/>
      <c r="AU644" s="84"/>
      <c r="AV644" s="84"/>
      <c r="AW644" s="84"/>
      <c r="AX644" s="84"/>
      <c r="AY644" s="84"/>
      <c r="AZ644" s="84"/>
      <c r="BA644" s="84"/>
      <c r="BB644" s="84"/>
      <c r="BC644" s="84"/>
      <c r="BD644" s="84"/>
      <c r="BE644" s="84"/>
      <c r="BF644" s="84"/>
      <c r="BG644" s="84"/>
      <c r="BH644" s="84"/>
      <c r="BI644" s="84"/>
      <c r="BJ644" s="78">
        <f t="shared" si="85"/>
        <v>0</v>
      </c>
      <c r="BK644" s="84"/>
      <c r="BL644" s="44">
        <v>34</v>
      </c>
      <c r="BM644" s="79">
        <f t="shared" si="84"/>
        <v>0</v>
      </c>
      <c r="BN644" s="75"/>
      <c r="BO644" s="75"/>
    </row>
    <row r="645" spans="1:67" s="4" customFormat="1" x14ac:dyDescent="0.3">
      <c r="A645" s="48">
        <v>22</v>
      </c>
      <c r="B645" s="50" t="s">
        <v>813</v>
      </c>
      <c r="C645" s="39" t="s">
        <v>52</v>
      </c>
      <c r="D645" s="41">
        <v>2.2000000000000002</v>
      </c>
      <c r="E645" s="41">
        <v>1.5</v>
      </c>
      <c r="F645" s="41">
        <v>0.7</v>
      </c>
      <c r="G645" s="41"/>
      <c r="H645" s="41"/>
      <c r="I645" s="39"/>
      <c r="J645" s="39">
        <v>0.7</v>
      </c>
      <c r="K645" s="101" t="s">
        <v>215</v>
      </c>
      <c r="L645" s="50" t="s">
        <v>208</v>
      </c>
      <c r="M645" s="43">
        <v>54</v>
      </c>
      <c r="N645" s="210">
        <v>502</v>
      </c>
      <c r="O645" s="43"/>
      <c r="P645" s="84"/>
      <c r="Q645" s="84"/>
      <c r="R645" s="84"/>
      <c r="S645" s="84"/>
      <c r="T645" s="84"/>
      <c r="U645" s="84"/>
      <c r="V645" s="84"/>
      <c r="W645" s="84"/>
      <c r="X645" s="84"/>
      <c r="Y645" s="84"/>
      <c r="Z645" s="84">
        <v>0.7</v>
      </c>
      <c r="AA645" s="84"/>
      <c r="AB645" s="84"/>
      <c r="AC645" s="84"/>
      <c r="AD645" s="84"/>
      <c r="AE645" s="84"/>
      <c r="AF645" s="84"/>
      <c r="AG645" s="84"/>
      <c r="AH645" s="84"/>
      <c r="AI645" s="84"/>
      <c r="AJ645" s="84"/>
      <c r="AK645" s="84"/>
      <c r="AL645" s="84"/>
      <c r="AM645" s="84"/>
      <c r="AN645" s="84"/>
      <c r="AO645" s="84"/>
      <c r="AP645" s="84"/>
      <c r="AQ645" s="84"/>
      <c r="AR645" s="84"/>
      <c r="AS645" s="84"/>
      <c r="AT645" s="84"/>
      <c r="AU645" s="84"/>
      <c r="AV645" s="84"/>
      <c r="AW645" s="84"/>
      <c r="AX645" s="84"/>
      <c r="AY645" s="84"/>
      <c r="AZ645" s="84"/>
      <c r="BA645" s="84"/>
      <c r="BB645" s="84"/>
      <c r="BC645" s="84"/>
      <c r="BD645" s="84"/>
      <c r="BE645" s="84"/>
      <c r="BF645" s="84"/>
      <c r="BG645" s="84"/>
      <c r="BH645" s="84"/>
      <c r="BI645" s="84"/>
      <c r="BJ645" s="78">
        <f t="shared" si="85"/>
        <v>0</v>
      </c>
      <c r="BK645" s="84"/>
      <c r="BL645" s="44"/>
      <c r="BM645" s="79">
        <f t="shared" si="84"/>
        <v>0</v>
      </c>
      <c r="BN645" s="75"/>
      <c r="BO645" s="75"/>
    </row>
    <row r="646" spans="1:67" s="4" customFormat="1" ht="31.2" x14ac:dyDescent="0.3">
      <c r="A646" s="48">
        <v>23</v>
      </c>
      <c r="B646" s="42" t="s">
        <v>730</v>
      </c>
      <c r="C646" s="43" t="s">
        <v>52</v>
      </c>
      <c r="D646" s="41">
        <v>0.16</v>
      </c>
      <c r="E646" s="41"/>
      <c r="F646" s="41">
        <v>0.16</v>
      </c>
      <c r="G646" s="41"/>
      <c r="H646" s="41"/>
      <c r="I646" s="41"/>
      <c r="J646" s="41">
        <v>0.16</v>
      </c>
      <c r="K646" s="42" t="s">
        <v>688</v>
      </c>
      <c r="L646" s="42" t="s">
        <v>688</v>
      </c>
      <c r="M646" s="43">
        <v>4</v>
      </c>
      <c r="N646" s="210">
        <v>503</v>
      </c>
      <c r="O646" s="43"/>
      <c r="P646" s="97"/>
      <c r="Q646" s="97"/>
      <c r="R646" s="97"/>
      <c r="S646" s="97"/>
      <c r="T646" s="97"/>
      <c r="U646" s="97"/>
      <c r="V646" s="97"/>
      <c r="W646" s="97"/>
      <c r="X646" s="97"/>
      <c r="Y646" s="97"/>
      <c r="Z646" s="97">
        <v>0.16</v>
      </c>
      <c r="AA646" s="97"/>
      <c r="AB646" s="97"/>
      <c r="AC646" s="97"/>
      <c r="AD646" s="97"/>
      <c r="AE646" s="97"/>
      <c r="AF646" s="97"/>
      <c r="AG646" s="100"/>
      <c r="AH646" s="97"/>
      <c r="AI646" s="97"/>
      <c r="AJ646" s="97"/>
      <c r="AK646" s="97"/>
      <c r="AL646" s="97"/>
      <c r="AM646" s="97"/>
      <c r="AN646" s="97"/>
      <c r="AO646" s="97"/>
      <c r="AP646" s="97"/>
      <c r="AQ646" s="97"/>
      <c r="AR646" s="97"/>
      <c r="AS646" s="97"/>
      <c r="AT646" s="97"/>
      <c r="AU646" s="97"/>
      <c r="AV646" s="97"/>
      <c r="AW646" s="97"/>
      <c r="AX646" s="97"/>
      <c r="AY646" s="97"/>
      <c r="AZ646" s="97"/>
      <c r="BA646" s="97"/>
      <c r="BB646" s="97"/>
      <c r="BC646" s="97"/>
      <c r="BD646" s="97"/>
      <c r="BE646" s="97"/>
      <c r="BF646" s="97"/>
      <c r="BG646" s="97"/>
      <c r="BH646" s="97"/>
      <c r="BI646" s="97"/>
      <c r="BJ646" s="78">
        <f t="shared" si="85"/>
        <v>0</v>
      </c>
      <c r="BK646" s="97"/>
      <c r="BL646" s="97">
        <v>34</v>
      </c>
      <c r="BM646" s="79">
        <f t="shared" si="84"/>
        <v>0</v>
      </c>
      <c r="BN646" s="75"/>
      <c r="BO646" s="75"/>
    </row>
    <row r="647" spans="1:67" s="4" customFormat="1" x14ac:dyDescent="0.3">
      <c r="A647" s="48">
        <v>24</v>
      </c>
      <c r="B647" s="42" t="s">
        <v>731</v>
      </c>
      <c r="C647" s="43" t="s">
        <v>52</v>
      </c>
      <c r="D647" s="41">
        <v>3.24</v>
      </c>
      <c r="E647" s="41"/>
      <c r="F647" s="41">
        <v>3.24</v>
      </c>
      <c r="G647" s="41"/>
      <c r="H647" s="41"/>
      <c r="I647" s="41"/>
      <c r="J647" s="41">
        <v>3.24</v>
      </c>
      <c r="K647" s="42" t="s">
        <v>846</v>
      </c>
      <c r="L647" s="42" t="s">
        <v>688</v>
      </c>
      <c r="M647" s="49">
        <v>51</v>
      </c>
      <c r="N647" s="208">
        <v>504</v>
      </c>
      <c r="O647" s="49"/>
      <c r="P647" s="97"/>
      <c r="Q647" s="97"/>
      <c r="R647" s="97"/>
      <c r="S647" s="97"/>
      <c r="T647" s="97"/>
      <c r="U647" s="97"/>
      <c r="V647" s="97"/>
      <c r="W647" s="97"/>
      <c r="X647" s="97"/>
      <c r="Y647" s="97"/>
      <c r="Z647" s="97">
        <v>1.1200000000000001</v>
      </c>
      <c r="AA647" s="97">
        <v>2.12</v>
      </c>
      <c r="AB647" s="97"/>
      <c r="AC647" s="97"/>
      <c r="AD647" s="97"/>
      <c r="AE647" s="97"/>
      <c r="AF647" s="97"/>
      <c r="AG647" s="97"/>
      <c r="AH647" s="97"/>
      <c r="AI647" s="97"/>
      <c r="AJ647" s="97"/>
      <c r="AK647" s="97"/>
      <c r="AL647" s="97"/>
      <c r="AM647" s="97"/>
      <c r="AN647" s="97"/>
      <c r="AO647" s="97"/>
      <c r="AP647" s="97"/>
      <c r="AQ647" s="97"/>
      <c r="AR647" s="97"/>
      <c r="AS647" s="97"/>
      <c r="AT647" s="97"/>
      <c r="AU647" s="97"/>
      <c r="AV647" s="97"/>
      <c r="AW647" s="97"/>
      <c r="AX647" s="97"/>
      <c r="AY647" s="97"/>
      <c r="AZ647" s="97"/>
      <c r="BA647" s="97"/>
      <c r="BB647" s="97"/>
      <c r="BC647" s="97"/>
      <c r="BD647" s="97"/>
      <c r="BE647" s="97"/>
      <c r="BF647" s="97"/>
      <c r="BG647" s="97"/>
      <c r="BH647" s="97"/>
      <c r="BI647" s="97"/>
      <c r="BJ647" s="78">
        <f t="shared" si="85"/>
        <v>0</v>
      </c>
      <c r="BK647" s="97"/>
      <c r="BL647" s="97">
        <v>34</v>
      </c>
      <c r="BM647" s="79">
        <f t="shared" si="84"/>
        <v>0</v>
      </c>
      <c r="BN647" s="75"/>
      <c r="BO647" s="75"/>
    </row>
    <row r="648" spans="1:67" s="4" customFormat="1" ht="31.2" x14ac:dyDescent="0.3">
      <c r="A648" s="48">
        <v>25</v>
      </c>
      <c r="B648" s="42" t="s">
        <v>865</v>
      </c>
      <c r="C648" s="43" t="s">
        <v>52</v>
      </c>
      <c r="D648" s="41">
        <v>3.83</v>
      </c>
      <c r="E648" s="41"/>
      <c r="F648" s="41">
        <v>3.83</v>
      </c>
      <c r="G648" s="41"/>
      <c r="H648" s="41">
        <v>3.83</v>
      </c>
      <c r="I648" s="41"/>
      <c r="J648" s="41"/>
      <c r="K648" s="42" t="s">
        <v>846</v>
      </c>
      <c r="L648" s="42" t="s">
        <v>688</v>
      </c>
      <c r="M648" s="43">
        <v>67</v>
      </c>
      <c r="N648" s="210">
        <v>505</v>
      </c>
      <c r="O648" s="43"/>
      <c r="P648" s="97">
        <v>3.83</v>
      </c>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c r="AU648" s="97"/>
      <c r="AV648" s="97"/>
      <c r="AW648" s="97"/>
      <c r="AX648" s="97"/>
      <c r="AY648" s="97"/>
      <c r="AZ648" s="97"/>
      <c r="BA648" s="97"/>
      <c r="BB648" s="97"/>
      <c r="BC648" s="97"/>
      <c r="BD648" s="97"/>
      <c r="BE648" s="97"/>
      <c r="BF648" s="97"/>
      <c r="BG648" s="97"/>
      <c r="BH648" s="97"/>
      <c r="BI648" s="97"/>
      <c r="BJ648" s="78">
        <f t="shared" si="85"/>
        <v>0</v>
      </c>
      <c r="BK648" s="97"/>
      <c r="BL648" s="97">
        <v>34</v>
      </c>
      <c r="BM648" s="79">
        <f t="shared" si="84"/>
        <v>0</v>
      </c>
      <c r="BN648" s="75"/>
      <c r="BO648" s="75"/>
    </row>
    <row r="649" spans="1:67" x14ac:dyDescent="0.3">
      <c r="A649" s="76" t="s">
        <v>758</v>
      </c>
      <c r="B649" s="77" t="s">
        <v>643</v>
      </c>
      <c r="C649" s="80" t="s">
        <v>46</v>
      </c>
      <c r="D649" s="81">
        <f>SUM(D650:D660)</f>
        <v>9.7499999999999982</v>
      </c>
      <c r="E649" s="81">
        <f t="shared" ref="E649:BH649" si="86">SUM(E650:E660)</f>
        <v>1.9700000000000002</v>
      </c>
      <c r="F649" s="81">
        <f t="shared" si="86"/>
        <v>7.7799999999999994</v>
      </c>
      <c r="G649" s="81">
        <f t="shared" si="86"/>
        <v>4.7300000000000004</v>
      </c>
      <c r="H649" s="81">
        <f t="shared" si="86"/>
        <v>0</v>
      </c>
      <c r="I649" s="81">
        <f t="shared" si="86"/>
        <v>0</v>
      </c>
      <c r="J649" s="81">
        <f t="shared" si="86"/>
        <v>3.05</v>
      </c>
      <c r="K649" s="91">
        <f t="shared" si="86"/>
        <v>0</v>
      </c>
      <c r="L649" s="91">
        <f t="shared" si="86"/>
        <v>0</v>
      </c>
      <c r="M649" s="90"/>
      <c r="N649" s="90"/>
      <c r="O649" s="90"/>
      <c r="P649" s="90">
        <f t="shared" si="86"/>
        <v>0</v>
      </c>
      <c r="Q649" s="90">
        <f t="shared" si="86"/>
        <v>0</v>
      </c>
      <c r="R649" s="90">
        <f t="shared" si="86"/>
        <v>0</v>
      </c>
      <c r="S649" s="90">
        <f t="shared" si="86"/>
        <v>0</v>
      </c>
      <c r="T649" s="90">
        <f t="shared" si="86"/>
        <v>0</v>
      </c>
      <c r="U649" s="90">
        <f t="shared" si="86"/>
        <v>0</v>
      </c>
      <c r="V649" s="90">
        <f t="shared" si="86"/>
        <v>0</v>
      </c>
      <c r="W649" s="90">
        <f t="shared" si="86"/>
        <v>0</v>
      </c>
      <c r="X649" s="90">
        <f t="shared" si="86"/>
        <v>0.4</v>
      </c>
      <c r="Y649" s="90">
        <f t="shared" si="86"/>
        <v>0</v>
      </c>
      <c r="Z649" s="90">
        <f t="shared" si="86"/>
        <v>1.55</v>
      </c>
      <c r="AA649" s="90">
        <f t="shared" si="86"/>
        <v>0.12</v>
      </c>
      <c r="AB649" s="90">
        <f t="shared" si="86"/>
        <v>0</v>
      </c>
      <c r="AC649" s="90">
        <f t="shared" si="86"/>
        <v>0</v>
      </c>
      <c r="AD649" s="90">
        <f t="shared" si="86"/>
        <v>0</v>
      </c>
      <c r="AE649" s="90">
        <f t="shared" si="86"/>
        <v>0</v>
      </c>
      <c r="AF649" s="90">
        <f t="shared" si="86"/>
        <v>0</v>
      </c>
      <c r="AG649" s="90">
        <f t="shared" si="86"/>
        <v>0</v>
      </c>
      <c r="AH649" s="90">
        <f t="shared" si="86"/>
        <v>0</v>
      </c>
      <c r="AI649" s="90">
        <f t="shared" si="86"/>
        <v>0</v>
      </c>
      <c r="AJ649" s="90">
        <f t="shared" si="86"/>
        <v>0</v>
      </c>
      <c r="AK649" s="90">
        <f t="shared" si="86"/>
        <v>0</v>
      </c>
      <c r="AL649" s="90">
        <f t="shared" si="86"/>
        <v>0</v>
      </c>
      <c r="AM649" s="90">
        <f t="shared" si="86"/>
        <v>0</v>
      </c>
      <c r="AN649" s="90">
        <f t="shared" si="86"/>
        <v>0</v>
      </c>
      <c r="AO649" s="90">
        <f t="shared" si="86"/>
        <v>0</v>
      </c>
      <c r="AP649" s="90">
        <f t="shared" si="86"/>
        <v>0</v>
      </c>
      <c r="AQ649" s="90">
        <f t="shared" si="86"/>
        <v>0</v>
      </c>
      <c r="AR649" s="90">
        <f t="shared" si="86"/>
        <v>0</v>
      </c>
      <c r="AS649" s="90">
        <f t="shared" si="86"/>
        <v>0</v>
      </c>
      <c r="AT649" s="90">
        <f t="shared" si="86"/>
        <v>0</v>
      </c>
      <c r="AU649" s="90">
        <f t="shared" si="86"/>
        <v>0</v>
      </c>
      <c r="AV649" s="90">
        <f t="shared" si="86"/>
        <v>0</v>
      </c>
      <c r="AW649" s="90">
        <f t="shared" si="86"/>
        <v>0</v>
      </c>
      <c r="AX649" s="90">
        <f t="shared" si="86"/>
        <v>0</v>
      </c>
      <c r="AY649" s="90">
        <f t="shared" si="86"/>
        <v>0</v>
      </c>
      <c r="AZ649" s="90">
        <f t="shared" si="86"/>
        <v>0</v>
      </c>
      <c r="BA649" s="90">
        <f t="shared" si="86"/>
        <v>0</v>
      </c>
      <c r="BB649" s="90">
        <f t="shared" si="86"/>
        <v>0.1</v>
      </c>
      <c r="BC649" s="90">
        <f t="shared" si="86"/>
        <v>0</v>
      </c>
      <c r="BD649" s="90">
        <f t="shared" si="86"/>
        <v>0</v>
      </c>
      <c r="BE649" s="90">
        <f t="shared" si="86"/>
        <v>0.88</v>
      </c>
      <c r="BF649" s="90">
        <f t="shared" si="86"/>
        <v>0</v>
      </c>
      <c r="BG649" s="90">
        <f t="shared" si="86"/>
        <v>0</v>
      </c>
      <c r="BH649" s="90">
        <f t="shared" si="86"/>
        <v>0</v>
      </c>
      <c r="BI649" s="90"/>
      <c r="BJ649" s="78">
        <f t="shared" si="85"/>
        <v>0</v>
      </c>
      <c r="BK649" s="84"/>
      <c r="BL649" s="44">
        <v>37</v>
      </c>
      <c r="BM649" s="79">
        <f t="shared" si="84"/>
        <v>0</v>
      </c>
      <c r="BN649" s="75"/>
      <c r="BO649" s="75"/>
    </row>
    <row r="650" spans="1:67" s="4" customFormat="1" x14ac:dyDescent="0.3">
      <c r="A650" s="48">
        <v>1</v>
      </c>
      <c r="B650" s="42" t="s">
        <v>458</v>
      </c>
      <c r="C650" s="43" t="s">
        <v>46</v>
      </c>
      <c r="D650" s="41">
        <v>0.05</v>
      </c>
      <c r="E650" s="41"/>
      <c r="F650" s="41">
        <v>0.05</v>
      </c>
      <c r="G650" s="41"/>
      <c r="H650" s="41"/>
      <c r="I650" s="39"/>
      <c r="J650" s="41">
        <v>0.05</v>
      </c>
      <c r="K650" s="117" t="s">
        <v>67</v>
      </c>
      <c r="L650" s="117" t="s">
        <v>67</v>
      </c>
      <c r="M650" s="43">
        <v>48</v>
      </c>
      <c r="N650" s="210">
        <v>506</v>
      </c>
      <c r="O650" s="43"/>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v>0.05</v>
      </c>
      <c r="BF650" s="48"/>
      <c r="BG650" s="48"/>
      <c r="BH650" s="48"/>
      <c r="BI650" s="48"/>
      <c r="BJ650" s="78">
        <f t="shared" si="85"/>
        <v>0</v>
      </c>
      <c r="BK650" s="115"/>
      <c r="BL650" s="44">
        <v>37</v>
      </c>
      <c r="BM650" s="79">
        <f t="shared" si="84"/>
        <v>0</v>
      </c>
      <c r="BN650" s="75"/>
      <c r="BO650" s="75"/>
    </row>
    <row r="651" spans="1:67" s="4" customFormat="1" x14ac:dyDescent="0.3">
      <c r="A651" s="48">
        <v>2</v>
      </c>
      <c r="B651" s="42" t="s">
        <v>459</v>
      </c>
      <c r="C651" s="48" t="s">
        <v>46</v>
      </c>
      <c r="D651" s="39">
        <v>2.86</v>
      </c>
      <c r="E651" s="39"/>
      <c r="F651" s="39">
        <v>2.86</v>
      </c>
      <c r="G651" s="39">
        <v>2.86</v>
      </c>
      <c r="H651" s="41"/>
      <c r="I651" s="39"/>
      <c r="J651" s="39"/>
      <c r="K651" s="42" t="s">
        <v>81</v>
      </c>
      <c r="L651" s="42" t="s">
        <v>81</v>
      </c>
      <c r="M651" s="48">
        <v>61</v>
      </c>
      <c r="N651" s="206">
        <v>507</v>
      </c>
      <c r="O651" s="48"/>
      <c r="P651" s="48"/>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651" s="84"/>
      <c r="AN651" s="84"/>
      <c r="AO651" s="84"/>
      <c r="AP651" s="84"/>
      <c r="AQ651" s="84"/>
      <c r="AR651" s="84"/>
      <c r="AS651" s="84"/>
      <c r="AT651" s="84"/>
      <c r="AU651" s="84"/>
      <c r="AV651" s="84"/>
      <c r="AW651" s="84"/>
      <c r="AX651" s="84"/>
      <c r="AY651" s="84"/>
      <c r="AZ651" s="84"/>
      <c r="BA651" s="84"/>
      <c r="BB651" s="84"/>
      <c r="BC651" s="84"/>
      <c r="BD651" s="84"/>
      <c r="BE651" s="84"/>
      <c r="BF651" s="84"/>
      <c r="BG651" s="84"/>
      <c r="BH651" s="84"/>
      <c r="BI651" s="84"/>
      <c r="BJ651" s="78">
        <f t="shared" si="85"/>
        <v>0</v>
      </c>
      <c r="BK651" s="84"/>
      <c r="BL651" s="44">
        <v>37</v>
      </c>
      <c r="BM651" s="79">
        <f t="shared" si="84"/>
        <v>0</v>
      </c>
      <c r="BN651" s="75"/>
      <c r="BO651" s="75"/>
    </row>
    <row r="652" spans="1:67" s="4" customFormat="1" ht="31.5" customHeight="1" x14ac:dyDescent="0.3">
      <c r="A652" s="48">
        <v>3</v>
      </c>
      <c r="B652" s="42" t="s">
        <v>460</v>
      </c>
      <c r="C652" s="48" t="s">
        <v>46</v>
      </c>
      <c r="D652" s="39">
        <v>0.74</v>
      </c>
      <c r="E652" s="39">
        <v>0.64</v>
      </c>
      <c r="F652" s="39">
        <v>0.1</v>
      </c>
      <c r="G652" s="39"/>
      <c r="H652" s="41"/>
      <c r="I652" s="39"/>
      <c r="J652" s="39">
        <v>0.1</v>
      </c>
      <c r="K652" s="42" t="s">
        <v>975</v>
      </c>
      <c r="L652" s="42" t="s">
        <v>93</v>
      </c>
      <c r="M652" s="48">
        <v>29</v>
      </c>
      <c r="N652" s="206">
        <v>508</v>
      </c>
      <c r="O652" s="48"/>
      <c r="P652" s="48"/>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652" s="84"/>
      <c r="AN652" s="84"/>
      <c r="AO652" s="84"/>
      <c r="AP652" s="84"/>
      <c r="AQ652" s="84"/>
      <c r="AR652" s="84"/>
      <c r="AS652" s="84"/>
      <c r="AT652" s="84"/>
      <c r="AU652" s="84"/>
      <c r="AV652" s="84"/>
      <c r="AW652" s="84"/>
      <c r="AX652" s="84"/>
      <c r="AY652" s="84"/>
      <c r="AZ652" s="84"/>
      <c r="BA652" s="84"/>
      <c r="BB652" s="84">
        <v>0.1</v>
      </c>
      <c r="BC652" s="84"/>
      <c r="BD652" s="84"/>
      <c r="BE652" s="84"/>
      <c r="BF652" s="84"/>
      <c r="BG652" s="84"/>
      <c r="BH652" s="84"/>
      <c r="BI652" s="84"/>
      <c r="BJ652" s="78">
        <f t="shared" si="85"/>
        <v>0</v>
      </c>
      <c r="BK652" s="84"/>
      <c r="BL652" s="44">
        <v>37</v>
      </c>
      <c r="BM652" s="79">
        <f t="shared" si="84"/>
        <v>0</v>
      </c>
      <c r="BN652" s="75"/>
      <c r="BO652" s="75"/>
    </row>
    <row r="653" spans="1:67" s="4" customFormat="1" ht="32.25" customHeight="1" x14ac:dyDescent="0.3">
      <c r="A653" s="48">
        <v>4</v>
      </c>
      <c r="B653" s="50" t="s">
        <v>461</v>
      </c>
      <c r="C653" s="39" t="s">
        <v>46</v>
      </c>
      <c r="D653" s="39">
        <v>1</v>
      </c>
      <c r="E653" s="39">
        <v>0.5</v>
      </c>
      <c r="F653" s="39">
        <v>0.5</v>
      </c>
      <c r="G653" s="39"/>
      <c r="H653" s="39"/>
      <c r="I653" s="39"/>
      <c r="J653" s="39">
        <v>0.5</v>
      </c>
      <c r="K653" s="50" t="s">
        <v>107</v>
      </c>
      <c r="L653" s="50" t="s">
        <v>102</v>
      </c>
      <c r="M653" s="99">
        <v>38</v>
      </c>
      <c r="N653" s="207">
        <v>509</v>
      </c>
      <c r="O653" s="99"/>
      <c r="P653" s="39"/>
      <c r="Q653" s="39"/>
      <c r="R653" s="39"/>
      <c r="S653" s="39"/>
      <c r="T653" s="39"/>
      <c r="U653" s="39"/>
      <c r="V653" s="39"/>
      <c r="W653" s="39"/>
      <c r="X653" s="39"/>
      <c r="Y653" s="39"/>
      <c r="Z653" s="39">
        <v>0.5</v>
      </c>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c r="BC653" s="39"/>
      <c r="BD653" s="39"/>
      <c r="BE653" s="39"/>
      <c r="BF653" s="39"/>
      <c r="BG653" s="39"/>
      <c r="BH653" s="39"/>
      <c r="BI653" s="39"/>
      <c r="BJ653" s="78">
        <f t="shared" si="85"/>
        <v>0</v>
      </c>
      <c r="BK653" s="39"/>
      <c r="BL653" s="44">
        <v>37</v>
      </c>
      <c r="BM653" s="79">
        <f t="shared" si="84"/>
        <v>0</v>
      </c>
      <c r="BN653" s="75"/>
      <c r="BO653" s="75"/>
    </row>
    <row r="654" spans="1:67" s="4" customFormat="1" x14ac:dyDescent="0.3">
      <c r="A654" s="48">
        <v>5</v>
      </c>
      <c r="B654" s="42" t="s">
        <v>459</v>
      </c>
      <c r="C654" s="39" t="s">
        <v>46</v>
      </c>
      <c r="D654" s="41">
        <v>0.4</v>
      </c>
      <c r="E654" s="41"/>
      <c r="F654" s="41">
        <v>0.4</v>
      </c>
      <c r="G654" s="39"/>
      <c r="H654" s="39">
        <v>0</v>
      </c>
      <c r="I654" s="39"/>
      <c r="J654" s="39">
        <v>0.4</v>
      </c>
      <c r="K654" s="50" t="s">
        <v>128</v>
      </c>
      <c r="L654" s="122" t="s">
        <v>125</v>
      </c>
      <c r="M654" s="110">
        <v>15</v>
      </c>
      <c r="N654" s="211">
        <v>510</v>
      </c>
      <c r="O654" s="110"/>
      <c r="P654" s="39"/>
      <c r="Q654" s="39"/>
      <c r="R654" s="39"/>
      <c r="S654" s="39"/>
      <c r="T654" s="39"/>
      <c r="U654" s="39"/>
      <c r="V654" s="39"/>
      <c r="W654" s="39"/>
      <c r="X654" s="39">
        <v>0.4</v>
      </c>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c r="BC654" s="39"/>
      <c r="BD654" s="39"/>
      <c r="BE654" s="39"/>
      <c r="BF654" s="39"/>
      <c r="BG654" s="39"/>
      <c r="BH654" s="39"/>
      <c r="BI654" s="39"/>
      <c r="BJ654" s="78">
        <f t="shared" si="85"/>
        <v>0</v>
      </c>
      <c r="BK654" s="39"/>
      <c r="BL654" s="44">
        <v>37</v>
      </c>
      <c r="BM654" s="79">
        <f t="shared" si="84"/>
        <v>0</v>
      </c>
      <c r="BN654" s="75"/>
      <c r="BO654" s="75"/>
    </row>
    <row r="655" spans="1:67" s="4" customFormat="1" x14ac:dyDescent="0.3">
      <c r="A655" s="48">
        <v>6</v>
      </c>
      <c r="B655" s="50" t="s">
        <v>462</v>
      </c>
      <c r="C655" s="39" t="s">
        <v>46</v>
      </c>
      <c r="D655" s="41">
        <v>1</v>
      </c>
      <c r="E655" s="41">
        <v>0.73</v>
      </c>
      <c r="F655" s="41">
        <v>0.27</v>
      </c>
      <c r="G655" s="41">
        <v>0.27</v>
      </c>
      <c r="H655" s="39"/>
      <c r="I655" s="39"/>
      <c r="J655" s="39">
        <v>0</v>
      </c>
      <c r="K655" s="50" t="s">
        <v>159</v>
      </c>
      <c r="L655" s="50" t="s">
        <v>154</v>
      </c>
      <c r="M655" s="110">
        <v>41</v>
      </c>
      <c r="N655" s="211">
        <v>511</v>
      </c>
      <c r="O655" s="110"/>
      <c r="P655" s="41"/>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c r="BC655" s="39"/>
      <c r="BD655" s="39"/>
      <c r="BE655" s="39"/>
      <c r="BF655" s="39"/>
      <c r="BG655" s="39"/>
      <c r="BH655" s="39"/>
      <c r="BI655" s="39"/>
      <c r="BJ655" s="78">
        <f t="shared" si="85"/>
        <v>0</v>
      </c>
      <c r="BK655" s="39"/>
      <c r="BL655" s="44">
        <v>37</v>
      </c>
      <c r="BM655" s="79">
        <f t="shared" si="84"/>
        <v>0</v>
      </c>
      <c r="BN655" s="75"/>
      <c r="BO655" s="75"/>
    </row>
    <row r="656" spans="1:67" s="4" customFormat="1" x14ac:dyDescent="0.3">
      <c r="A656" s="48">
        <v>7</v>
      </c>
      <c r="B656" s="50" t="s">
        <v>463</v>
      </c>
      <c r="C656" s="39" t="s">
        <v>46</v>
      </c>
      <c r="D656" s="39">
        <v>0.22</v>
      </c>
      <c r="E656" s="39">
        <v>0.1</v>
      </c>
      <c r="F656" s="39">
        <v>0.12</v>
      </c>
      <c r="G656" s="39"/>
      <c r="H656" s="39"/>
      <c r="I656" s="39"/>
      <c r="J656" s="39">
        <v>0.12</v>
      </c>
      <c r="K656" s="50" t="s">
        <v>207</v>
      </c>
      <c r="L656" s="50" t="s">
        <v>208</v>
      </c>
      <c r="M656" s="99">
        <v>37</v>
      </c>
      <c r="N656" s="207">
        <v>512</v>
      </c>
      <c r="O656" s="99"/>
      <c r="P656" s="39"/>
      <c r="Q656" s="39"/>
      <c r="R656" s="39"/>
      <c r="S656" s="39"/>
      <c r="T656" s="39"/>
      <c r="U656" s="39"/>
      <c r="V656" s="39"/>
      <c r="W656" s="39"/>
      <c r="X656" s="39"/>
      <c r="Y656" s="39"/>
      <c r="Z656" s="39"/>
      <c r="AA656" s="39">
        <v>0.12</v>
      </c>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39"/>
      <c r="BD656" s="39"/>
      <c r="BE656" s="39"/>
      <c r="BF656" s="39"/>
      <c r="BG656" s="39"/>
      <c r="BH656" s="39"/>
      <c r="BI656" s="39"/>
      <c r="BJ656" s="78">
        <f t="shared" si="85"/>
        <v>0</v>
      </c>
      <c r="BK656" s="84"/>
      <c r="BL656" s="44">
        <v>37</v>
      </c>
      <c r="BM656" s="79">
        <f t="shared" si="84"/>
        <v>0</v>
      </c>
      <c r="BN656" s="75"/>
      <c r="BO656" s="75"/>
    </row>
    <row r="657" spans="1:67" s="4" customFormat="1" ht="31.5" customHeight="1" x14ac:dyDescent="0.3">
      <c r="A657" s="48">
        <v>8</v>
      </c>
      <c r="B657" s="92" t="s">
        <v>296</v>
      </c>
      <c r="C657" s="48" t="s">
        <v>46</v>
      </c>
      <c r="D657" s="39">
        <v>0.6</v>
      </c>
      <c r="E657" s="39"/>
      <c r="F657" s="39">
        <v>0.6</v>
      </c>
      <c r="G657" s="39">
        <v>0.6</v>
      </c>
      <c r="H657" s="39"/>
      <c r="I657" s="39"/>
      <c r="J657" s="39">
        <f>SUM(Z657:BG657)</f>
        <v>0</v>
      </c>
      <c r="K657" s="92"/>
      <c r="L657" s="42" t="s">
        <v>294</v>
      </c>
      <c r="M657" s="44">
        <v>49</v>
      </c>
      <c r="N657" s="209">
        <v>513</v>
      </c>
      <c r="O657" s="44"/>
      <c r="P657" s="84"/>
      <c r="Q657" s="84"/>
      <c r="R657" s="84"/>
      <c r="S657" s="84"/>
      <c r="T657" s="84"/>
      <c r="U657" s="84"/>
      <c r="V657" s="84"/>
      <c r="W657" s="84"/>
      <c r="X657" s="84"/>
      <c r="Y657" s="84"/>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48"/>
      <c r="BJ657" s="78">
        <f t="shared" si="85"/>
        <v>0</v>
      </c>
      <c r="BK657" s="48"/>
      <c r="BL657" s="44">
        <v>37</v>
      </c>
      <c r="BM657" s="79">
        <f t="shared" si="84"/>
        <v>0</v>
      </c>
      <c r="BN657" s="75"/>
      <c r="BO657" s="75"/>
    </row>
    <row r="658" spans="1:67" s="4" customFormat="1" ht="24" customHeight="1" x14ac:dyDescent="0.3">
      <c r="A658" s="48">
        <v>9</v>
      </c>
      <c r="B658" s="42" t="s">
        <v>459</v>
      </c>
      <c r="C658" s="48" t="s">
        <v>46</v>
      </c>
      <c r="D658" s="39">
        <v>1.05</v>
      </c>
      <c r="E658" s="39"/>
      <c r="F658" s="39">
        <v>1.05</v>
      </c>
      <c r="G658" s="39"/>
      <c r="H658" s="39"/>
      <c r="I658" s="39"/>
      <c r="J658" s="39">
        <f>SUM(Z658:BG658)</f>
        <v>1.05</v>
      </c>
      <c r="K658" s="42" t="s">
        <v>380</v>
      </c>
      <c r="L658" s="42" t="s">
        <v>377</v>
      </c>
      <c r="M658" s="43">
        <v>6</v>
      </c>
      <c r="N658" s="210">
        <v>514</v>
      </c>
      <c r="O658" s="43"/>
      <c r="P658" s="84"/>
      <c r="Q658" s="84"/>
      <c r="R658" s="84"/>
      <c r="S658" s="84"/>
      <c r="T658" s="84"/>
      <c r="U658" s="84"/>
      <c r="V658" s="84"/>
      <c r="W658" s="84"/>
      <c r="X658" s="84"/>
      <c r="Y658" s="84"/>
      <c r="Z658" s="84">
        <v>1.05</v>
      </c>
      <c r="AA658" s="84"/>
      <c r="AB658" s="84"/>
      <c r="AC658" s="84"/>
      <c r="AD658" s="84"/>
      <c r="AE658" s="84"/>
      <c r="AF658" s="84"/>
      <c r="AG658" s="84"/>
      <c r="AH658" s="84"/>
      <c r="AI658" s="84"/>
      <c r="AJ658" s="84"/>
      <c r="AK658" s="84"/>
      <c r="AL658" s="84"/>
      <c r="AM658" s="84"/>
      <c r="AN658" s="84"/>
      <c r="AO658" s="84"/>
      <c r="AP658" s="84"/>
      <c r="AQ658" s="84"/>
      <c r="AR658" s="84"/>
      <c r="AS658" s="84"/>
      <c r="AT658" s="84"/>
      <c r="AU658" s="84"/>
      <c r="AV658" s="84"/>
      <c r="AW658" s="84"/>
      <c r="AX658" s="84"/>
      <c r="AY658" s="84"/>
      <c r="AZ658" s="84"/>
      <c r="BA658" s="84"/>
      <c r="BB658" s="84"/>
      <c r="BC658" s="84"/>
      <c r="BD658" s="84"/>
      <c r="BE658" s="84"/>
      <c r="BF658" s="84"/>
      <c r="BG658" s="84"/>
      <c r="BH658" s="84"/>
      <c r="BI658" s="84"/>
      <c r="BJ658" s="78">
        <f t="shared" si="85"/>
        <v>0</v>
      </c>
      <c r="BK658" s="84"/>
      <c r="BL658" s="44">
        <v>37</v>
      </c>
      <c r="BM658" s="79">
        <f t="shared" si="84"/>
        <v>0</v>
      </c>
      <c r="BN658" s="75"/>
      <c r="BO658" s="75"/>
    </row>
    <row r="659" spans="1:67" s="4" customFormat="1" ht="31.2" x14ac:dyDescent="0.3">
      <c r="A659" s="48">
        <v>10</v>
      </c>
      <c r="B659" s="42" t="s">
        <v>459</v>
      </c>
      <c r="C659" s="48" t="s">
        <v>46</v>
      </c>
      <c r="D659" s="39">
        <v>1</v>
      </c>
      <c r="E659" s="39"/>
      <c r="F659" s="39">
        <v>1</v>
      </c>
      <c r="G659" s="39">
        <v>1</v>
      </c>
      <c r="H659" s="39"/>
      <c r="I659" s="39"/>
      <c r="J659" s="39">
        <f>SUM(P659:BG659)</f>
        <v>0</v>
      </c>
      <c r="K659" s="42" t="s">
        <v>784</v>
      </c>
      <c r="L659" s="42" t="s">
        <v>415</v>
      </c>
      <c r="M659" s="43">
        <v>37</v>
      </c>
      <c r="N659" s="210">
        <v>515</v>
      </c>
      <c r="O659" s="43"/>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659" s="84"/>
      <c r="AN659" s="84"/>
      <c r="AO659" s="84"/>
      <c r="AP659" s="84"/>
      <c r="AQ659" s="84"/>
      <c r="AR659" s="84"/>
      <c r="AS659" s="84"/>
      <c r="AT659" s="84"/>
      <c r="AU659" s="84"/>
      <c r="AV659" s="84"/>
      <c r="AW659" s="84"/>
      <c r="AX659" s="84"/>
      <c r="AY659" s="84"/>
      <c r="AZ659" s="84"/>
      <c r="BA659" s="84"/>
      <c r="BB659" s="84"/>
      <c r="BC659" s="84"/>
      <c r="BD659" s="84"/>
      <c r="BE659" s="84"/>
      <c r="BF659" s="84"/>
      <c r="BG659" s="84"/>
      <c r="BH659" s="84"/>
      <c r="BI659" s="84"/>
      <c r="BJ659" s="78">
        <f t="shared" si="85"/>
        <v>0</v>
      </c>
      <c r="BK659" s="84"/>
      <c r="BL659" s="44">
        <v>37</v>
      </c>
      <c r="BM659" s="79">
        <f t="shared" si="84"/>
        <v>0</v>
      </c>
      <c r="BN659" s="75"/>
      <c r="BO659" s="75"/>
    </row>
    <row r="660" spans="1:67" s="4" customFormat="1" x14ac:dyDescent="0.3">
      <c r="A660" s="48">
        <v>11</v>
      </c>
      <c r="B660" s="42" t="s">
        <v>459</v>
      </c>
      <c r="C660" s="43" t="s">
        <v>46</v>
      </c>
      <c r="D660" s="41">
        <v>0.83</v>
      </c>
      <c r="E660" s="41"/>
      <c r="F660" s="41">
        <v>0.83</v>
      </c>
      <c r="G660" s="41"/>
      <c r="H660" s="41"/>
      <c r="I660" s="41"/>
      <c r="J660" s="41">
        <v>0.83</v>
      </c>
      <c r="K660" s="42" t="s">
        <v>688</v>
      </c>
      <c r="L660" s="42" t="s">
        <v>688</v>
      </c>
      <c r="M660" s="43">
        <v>13</v>
      </c>
      <c r="N660" s="210">
        <v>516</v>
      </c>
      <c r="O660" s="43"/>
      <c r="P660" s="97"/>
      <c r="Q660" s="97"/>
      <c r="R660" s="97"/>
      <c r="S660" s="97"/>
      <c r="T660" s="97"/>
      <c r="U660" s="97"/>
      <c r="V660" s="97"/>
      <c r="W660" s="97"/>
      <c r="X660" s="97"/>
      <c r="Y660" s="97"/>
      <c r="Z660" s="97"/>
      <c r="AA660" s="97"/>
      <c r="AB660" s="97"/>
      <c r="AC660" s="97"/>
      <c r="AD660" s="97"/>
      <c r="AE660" s="97"/>
      <c r="AF660" s="97"/>
      <c r="AG660" s="100"/>
      <c r="AH660" s="97"/>
      <c r="AI660" s="97"/>
      <c r="AJ660" s="97"/>
      <c r="AK660" s="97"/>
      <c r="AL660" s="97"/>
      <c r="AM660" s="97"/>
      <c r="AN660" s="97"/>
      <c r="AO660" s="97"/>
      <c r="AP660" s="97"/>
      <c r="AQ660" s="97"/>
      <c r="AR660" s="97"/>
      <c r="AS660" s="97"/>
      <c r="AT660" s="97"/>
      <c r="AU660" s="97"/>
      <c r="AV660" s="97"/>
      <c r="AW660" s="97"/>
      <c r="AX660" s="97"/>
      <c r="AY660" s="97"/>
      <c r="AZ660" s="97"/>
      <c r="BA660" s="97"/>
      <c r="BB660" s="97"/>
      <c r="BC660" s="97"/>
      <c r="BD660" s="97"/>
      <c r="BE660" s="97">
        <v>0.83</v>
      </c>
      <c r="BF660" s="97"/>
      <c r="BG660" s="97"/>
      <c r="BH660" s="97"/>
      <c r="BI660" s="97"/>
      <c r="BJ660" s="78">
        <f t="shared" si="85"/>
        <v>0</v>
      </c>
      <c r="BK660" s="97"/>
      <c r="BL660" s="97">
        <v>37</v>
      </c>
      <c r="BM660" s="79">
        <f t="shared" si="84"/>
        <v>0</v>
      </c>
      <c r="BN660" s="75"/>
      <c r="BO660" s="75"/>
    </row>
    <row r="661" spans="1:67" x14ac:dyDescent="0.3">
      <c r="A661" s="76" t="s">
        <v>644</v>
      </c>
      <c r="B661" s="77" t="s">
        <v>645</v>
      </c>
      <c r="C661" s="80" t="s">
        <v>47</v>
      </c>
      <c r="D661" s="81">
        <f t="shared" ref="D661:M661" si="87">SUM(D662:D679)</f>
        <v>11.950000000000001</v>
      </c>
      <c r="E661" s="81">
        <f t="shared" si="87"/>
        <v>3.0100000000000002</v>
      </c>
      <c r="F661" s="81">
        <f t="shared" si="87"/>
        <v>8.94</v>
      </c>
      <c r="G661" s="81">
        <f t="shared" si="87"/>
        <v>5.25</v>
      </c>
      <c r="H661" s="81">
        <f t="shared" si="87"/>
        <v>0</v>
      </c>
      <c r="I661" s="81">
        <f t="shared" si="87"/>
        <v>0</v>
      </c>
      <c r="J661" s="81">
        <f t="shared" si="87"/>
        <v>3.69</v>
      </c>
      <c r="K661" s="91">
        <f t="shared" si="87"/>
        <v>0</v>
      </c>
      <c r="L661" s="91">
        <f t="shared" si="87"/>
        <v>0</v>
      </c>
      <c r="M661" s="90">
        <f t="shared" si="87"/>
        <v>941</v>
      </c>
      <c r="N661" s="90"/>
      <c r="O661" s="90"/>
      <c r="P661" s="90">
        <f t="shared" ref="P661:BH661" si="88">SUM(P662:P679)</f>
        <v>0</v>
      </c>
      <c r="Q661" s="90">
        <f t="shared" si="88"/>
        <v>0</v>
      </c>
      <c r="R661" s="90">
        <f t="shared" si="88"/>
        <v>0</v>
      </c>
      <c r="S661" s="90">
        <f t="shared" si="88"/>
        <v>0</v>
      </c>
      <c r="T661" s="90">
        <f t="shared" si="88"/>
        <v>0</v>
      </c>
      <c r="U661" s="90">
        <f t="shared" si="88"/>
        <v>0</v>
      </c>
      <c r="V661" s="90">
        <f t="shared" si="88"/>
        <v>0</v>
      </c>
      <c r="W661" s="90">
        <f t="shared" si="88"/>
        <v>0</v>
      </c>
      <c r="X661" s="90">
        <f t="shared" si="88"/>
        <v>0.7</v>
      </c>
      <c r="Y661" s="90">
        <f t="shared" si="88"/>
        <v>0.2</v>
      </c>
      <c r="Z661" s="90">
        <f t="shared" si="88"/>
        <v>0.55000000000000004</v>
      </c>
      <c r="AA661" s="90">
        <f t="shared" si="88"/>
        <v>0.04</v>
      </c>
      <c r="AB661" s="90">
        <f t="shared" si="88"/>
        <v>0</v>
      </c>
      <c r="AC661" s="90">
        <f t="shared" si="88"/>
        <v>0</v>
      </c>
      <c r="AD661" s="90">
        <f t="shared" si="88"/>
        <v>0</v>
      </c>
      <c r="AE661" s="90">
        <f t="shared" si="88"/>
        <v>0</v>
      </c>
      <c r="AF661" s="90">
        <f t="shared" si="88"/>
        <v>0</v>
      </c>
      <c r="AG661" s="90">
        <f t="shared" si="88"/>
        <v>0</v>
      </c>
      <c r="AH661" s="90">
        <f t="shared" si="88"/>
        <v>0</v>
      </c>
      <c r="AI661" s="90">
        <f t="shared" si="88"/>
        <v>0</v>
      </c>
      <c r="AJ661" s="90">
        <f t="shared" si="88"/>
        <v>0</v>
      </c>
      <c r="AK661" s="90">
        <f t="shared" si="88"/>
        <v>0</v>
      </c>
      <c r="AL661" s="90">
        <f t="shared" si="88"/>
        <v>0</v>
      </c>
      <c r="AM661" s="90">
        <f t="shared" si="88"/>
        <v>0</v>
      </c>
      <c r="AN661" s="90">
        <f t="shared" si="88"/>
        <v>0.3</v>
      </c>
      <c r="AO661" s="90">
        <f t="shared" si="88"/>
        <v>0.56000000000000005</v>
      </c>
      <c r="AP661" s="90">
        <f t="shared" si="88"/>
        <v>0</v>
      </c>
      <c r="AQ661" s="90">
        <f t="shared" si="88"/>
        <v>0.2</v>
      </c>
      <c r="AR661" s="90">
        <f t="shared" si="88"/>
        <v>0</v>
      </c>
      <c r="AS661" s="90">
        <f t="shared" si="88"/>
        <v>0</v>
      </c>
      <c r="AT661" s="90">
        <f t="shared" si="88"/>
        <v>0.04</v>
      </c>
      <c r="AU661" s="90">
        <f t="shared" si="88"/>
        <v>0</v>
      </c>
      <c r="AV661" s="90">
        <f t="shared" si="88"/>
        <v>0</v>
      </c>
      <c r="AW661" s="90">
        <f t="shared" si="88"/>
        <v>0</v>
      </c>
      <c r="AX661" s="90">
        <f t="shared" si="88"/>
        <v>0</v>
      </c>
      <c r="AY661" s="90">
        <f t="shared" si="88"/>
        <v>0</v>
      </c>
      <c r="AZ661" s="90">
        <f t="shared" si="88"/>
        <v>0</v>
      </c>
      <c r="BA661" s="90">
        <f t="shared" si="88"/>
        <v>0</v>
      </c>
      <c r="BB661" s="90">
        <f t="shared" si="88"/>
        <v>0.1</v>
      </c>
      <c r="BC661" s="90">
        <f t="shared" si="88"/>
        <v>0</v>
      </c>
      <c r="BD661" s="90">
        <f t="shared" si="88"/>
        <v>0.2</v>
      </c>
      <c r="BE661" s="90">
        <f t="shared" si="88"/>
        <v>0.8</v>
      </c>
      <c r="BF661" s="90">
        <f t="shared" si="88"/>
        <v>0</v>
      </c>
      <c r="BG661" s="90">
        <f t="shared" si="88"/>
        <v>0</v>
      </c>
      <c r="BH661" s="90">
        <f t="shared" si="88"/>
        <v>0</v>
      </c>
      <c r="BI661" s="90"/>
      <c r="BJ661" s="90"/>
      <c r="BK661" s="84"/>
      <c r="BL661" s="44">
        <v>39</v>
      </c>
      <c r="BM661" s="79">
        <f t="shared" si="84"/>
        <v>0</v>
      </c>
      <c r="BN661" s="75"/>
      <c r="BO661" s="75"/>
    </row>
    <row r="662" spans="1:67" s="4" customFormat="1" ht="33.75" customHeight="1" x14ac:dyDescent="0.3">
      <c r="A662" s="48">
        <v>1</v>
      </c>
      <c r="B662" s="42" t="s">
        <v>502</v>
      </c>
      <c r="C662" s="43" t="s">
        <v>47</v>
      </c>
      <c r="D662" s="41">
        <v>1.3</v>
      </c>
      <c r="E662" s="41"/>
      <c r="F662" s="41">
        <v>1.3</v>
      </c>
      <c r="G662" s="41">
        <v>1</v>
      </c>
      <c r="H662" s="41"/>
      <c r="I662" s="39"/>
      <c r="J662" s="41">
        <v>0.3</v>
      </c>
      <c r="K662" s="102" t="s">
        <v>926</v>
      </c>
      <c r="L662" s="117" t="s">
        <v>67</v>
      </c>
      <c r="M662" s="43">
        <v>9</v>
      </c>
      <c r="N662" s="210">
        <v>517</v>
      </c>
      <c r="O662" s="43"/>
      <c r="P662" s="48"/>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v>0.2</v>
      </c>
      <c r="AR662" s="115"/>
      <c r="AS662" s="115"/>
      <c r="AT662" s="115"/>
      <c r="AU662" s="115"/>
      <c r="AV662" s="115"/>
      <c r="AW662" s="115"/>
      <c r="AX662" s="115"/>
      <c r="AY662" s="115"/>
      <c r="AZ662" s="115"/>
      <c r="BA662" s="115"/>
      <c r="BB662" s="115"/>
      <c r="BC662" s="115"/>
      <c r="BD662" s="115"/>
      <c r="BE662" s="115">
        <v>0.1</v>
      </c>
      <c r="BF662" s="115"/>
      <c r="BG662" s="115"/>
      <c r="BH662" s="115"/>
      <c r="BI662" s="115"/>
      <c r="BJ662" s="78">
        <f t="shared" ref="BJ662:BJ746" si="89">D662-E662-F662</f>
        <v>0</v>
      </c>
      <c r="BK662" s="115"/>
      <c r="BL662" s="44">
        <v>39</v>
      </c>
      <c r="BM662" s="79">
        <f t="shared" si="84"/>
        <v>0</v>
      </c>
      <c r="BN662" s="75"/>
      <c r="BO662" s="75"/>
    </row>
    <row r="663" spans="1:67" s="4" customFormat="1" ht="29.25" customHeight="1" x14ac:dyDescent="0.3">
      <c r="A663" s="48">
        <v>2</v>
      </c>
      <c r="B663" s="42" t="s">
        <v>882</v>
      </c>
      <c r="C663" s="48" t="s">
        <v>47</v>
      </c>
      <c r="D663" s="39">
        <v>1.6</v>
      </c>
      <c r="E663" s="39">
        <v>1.48</v>
      </c>
      <c r="F663" s="39">
        <v>0.12</v>
      </c>
      <c r="G663" s="40">
        <v>0.12</v>
      </c>
      <c r="H663" s="41"/>
      <c r="I663" s="39"/>
      <c r="J663" s="40"/>
      <c r="K663" s="42" t="s">
        <v>883</v>
      </c>
      <c r="L663" s="42" t="s">
        <v>91</v>
      </c>
      <c r="M663" s="48">
        <v>15</v>
      </c>
      <c r="N663" s="206">
        <v>518</v>
      </c>
      <c r="O663" s="48"/>
      <c r="P663" s="42"/>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663" s="84"/>
      <c r="AN663" s="84"/>
      <c r="AO663" s="84"/>
      <c r="AP663" s="84"/>
      <c r="AQ663" s="84"/>
      <c r="AR663" s="84"/>
      <c r="AS663" s="84"/>
      <c r="AT663" s="84"/>
      <c r="AU663" s="84"/>
      <c r="AV663" s="84"/>
      <c r="AW663" s="84"/>
      <c r="AX663" s="84"/>
      <c r="AY663" s="84"/>
      <c r="AZ663" s="84"/>
      <c r="BA663" s="84"/>
      <c r="BB663" s="84"/>
      <c r="BC663" s="84"/>
      <c r="BD663" s="84"/>
      <c r="BE663" s="84"/>
      <c r="BF663" s="84"/>
      <c r="BG663" s="84"/>
      <c r="BH663" s="84"/>
      <c r="BI663" s="84"/>
      <c r="BJ663" s="78">
        <f t="shared" si="89"/>
        <v>1.1102230246251565E-16</v>
      </c>
      <c r="BK663" s="84"/>
      <c r="BL663" s="44">
        <v>39</v>
      </c>
      <c r="BM663" s="79">
        <f t="shared" si="84"/>
        <v>0</v>
      </c>
      <c r="BN663" s="75"/>
      <c r="BO663" s="75"/>
    </row>
    <row r="664" spans="1:67" s="4" customFormat="1" x14ac:dyDescent="0.3">
      <c r="A664" s="48">
        <v>3</v>
      </c>
      <c r="B664" s="42" t="s">
        <v>503</v>
      </c>
      <c r="C664" s="48" t="s">
        <v>47</v>
      </c>
      <c r="D664" s="39">
        <v>0.2</v>
      </c>
      <c r="E664" s="39">
        <v>0.1</v>
      </c>
      <c r="F664" s="39">
        <v>0.1</v>
      </c>
      <c r="G664" s="39"/>
      <c r="H664" s="40"/>
      <c r="I664" s="39"/>
      <c r="J664" s="39">
        <v>0.1</v>
      </c>
      <c r="K664" s="42" t="s">
        <v>975</v>
      </c>
      <c r="L664" s="42" t="s">
        <v>93</v>
      </c>
      <c r="M664" s="48">
        <v>28</v>
      </c>
      <c r="N664" s="206">
        <v>519</v>
      </c>
      <c r="O664" s="48"/>
      <c r="P664" s="48"/>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664" s="84"/>
      <c r="AN664" s="84"/>
      <c r="AO664" s="84"/>
      <c r="AP664" s="84"/>
      <c r="AQ664" s="84"/>
      <c r="AR664" s="84"/>
      <c r="AS664" s="84"/>
      <c r="AT664" s="84"/>
      <c r="AU664" s="84"/>
      <c r="AV664" s="84"/>
      <c r="AW664" s="84"/>
      <c r="AX664" s="84"/>
      <c r="AY664" s="84"/>
      <c r="AZ664" s="84"/>
      <c r="BA664" s="84"/>
      <c r="BB664" s="84">
        <v>0.1</v>
      </c>
      <c r="BC664" s="84"/>
      <c r="BD664" s="84"/>
      <c r="BE664" s="84"/>
      <c r="BF664" s="84"/>
      <c r="BG664" s="84"/>
      <c r="BH664" s="84"/>
      <c r="BI664" s="84"/>
      <c r="BJ664" s="78">
        <f t="shared" si="89"/>
        <v>0</v>
      </c>
      <c r="BK664" s="84"/>
      <c r="BL664" s="44">
        <v>39</v>
      </c>
      <c r="BM664" s="79">
        <f t="shared" si="84"/>
        <v>0</v>
      </c>
      <c r="BN664" s="75"/>
      <c r="BO664" s="75"/>
    </row>
    <row r="665" spans="1:67" s="4" customFormat="1" x14ac:dyDescent="0.3">
      <c r="A665" s="48">
        <v>4</v>
      </c>
      <c r="B665" s="42" t="s">
        <v>502</v>
      </c>
      <c r="C665" s="39" t="s">
        <v>47</v>
      </c>
      <c r="D665" s="39">
        <v>0.13</v>
      </c>
      <c r="E665" s="39"/>
      <c r="F665" s="39">
        <v>0.13</v>
      </c>
      <c r="G665" s="39">
        <v>0.13</v>
      </c>
      <c r="H665" s="39"/>
      <c r="I665" s="39"/>
      <c r="J665" s="39">
        <v>0</v>
      </c>
      <c r="K665" s="101" t="s">
        <v>107</v>
      </c>
      <c r="L665" s="50" t="s">
        <v>102</v>
      </c>
      <c r="M665" s="110">
        <v>398</v>
      </c>
      <c r="N665" s="211">
        <v>520</v>
      </c>
      <c r="O665" s="110"/>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c r="BC665" s="39"/>
      <c r="BD665" s="39"/>
      <c r="BE665" s="39"/>
      <c r="BF665" s="39"/>
      <c r="BG665" s="39"/>
      <c r="BH665" s="39"/>
      <c r="BI665" s="39"/>
      <c r="BJ665" s="78">
        <f t="shared" si="89"/>
        <v>0</v>
      </c>
      <c r="BK665" s="39"/>
      <c r="BL665" s="44">
        <v>39</v>
      </c>
      <c r="BM665" s="79">
        <f t="shared" si="84"/>
        <v>0</v>
      </c>
      <c r="BN665" s="75"/>
      <c r="BO665" s="75"/>
    </row>
    <row r="666" spans="1:67" s="4" customFormat="1" x14ac:dyDescent="0.3">
      <c r="A666" s="48">
        <v>5</v>
      </c>
      <c r="B666" s="50" t="s">
        <v>151</v>
      </c>
      <c r="C666" s="39" t="s">
        <v>47</v>
      </c>
      <c r="D666" s="39">
        <v>0.4</v>
      </c>
      <c r="E666" s="39"/>
      <c r="F666" s="39">
        <v>0.4</v>
      </c>
      <c r="G666" s="39"/>
      <c r="H666" s="39">
        <v>0</v>
      </c>
      <c r="I666" s="39"/>
      <c r="J666" s="39">
        <v>0.4</v>
      </c>
      <c r="K666" s="101" t="s">
        <v>134</v>
      </c>
      <c r="L666" s="122" t="s">
        <v>125</v>
      </c>
      <c r="M666" s="110">
        <v>51</v>
      </c>
      <c r="N666" s="211">
        <v>521</v>
      </c>
      <c r="O666" s="110"/>
      <c r="P666" s="39"/>
      <c r="Q666" s="39"/>
      <c r="R666" s="39"/>
      <c r="S666" s="39"/>
      <c r="T666" s="39"/>
      <c r="U666" s="39"/>
      <c r="V666" s="39"/>
      <c r="W666" s="39"/>
      <c r="X666" s="39"/>
      <c r="Y666" s="39">
        <v>0.2</v>
      </c>
      <c r="Z666" s="39">
        <v>0.2</v>
      </c>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c r="BC666" s="39"/>
      <c r="BD666" s="39"/>
      <c r="BE666" s="39"/>
      <c r="BF666" s="39"/>
      <c r="BG666" s="39"/>
      <c r="BH666" s="39"/>
      <c r="BI666" s="39"/>
      <c r="BJ666" s="78">
        <f t="shared" si="89"/>
        <v>0</v>
      </c>
      <c r="BK666" s="39"/>
      <c r="BL666" s="44">
        <v>39</v>
      </c>
      <c r="BM666" s="79">
        <f t="shared" si="84"/>
        <v>0</v>
      </c>
      <c r="BN666" s="75"/>
      <c r="BO666" s="75"/>
    </row>
    <row r="667" spans="1:67" s="4" customFormat="1" ht="31.2" x14ac:dyDescent="0.3">
      <c r="A667" s="48">
        <v>6</v>
      </c>
      <c r="B667" s="50" t="s">
        <v>504</v>
      </c>
      <c r="C667" s="39" t="s">
        <v>47</v>
      </c>
      <c r="D667" s="41">
        <v>1.5</v>
      </c>
      <c r="E667" s="41">
        <v>0.8</v>
      </c>
      <c r="F667" s="41">
        <v>0.7</v>
      </c>
      <c r="G667" s="39">
        <v>0.4</v>
      </c>
      <c r="H667" s="39"/>
      <c r="I667" s="39"/>
      <c r="J667" s="39">
        <v>0.30000000000000004</v>
      </c>
      <c r="K667" s="50" t="s">
        <v>156</v>
      </c>
      <c r="L667" s="50" t="s">
        <v>154</v>
      </c>
      <c r="M667" s="110">
        <v>9</v>
      </c>
      <c r="N667" s="211">
        <v>522</v>
      </c>
      <c r="O667" s="110"/>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c r="BC667" s="39"/>
      <c r="BD667" s="39">
        <v>0.2</v>
      </c>
      <c r="BE667" s="39">
        <v>0.1</v>
      </c>
      <c r="BF667" s="39"/>
      <c r="BG667" s="39"/>
      <c r="BH667" s="39"/>
      <c r="BI667" s="39"/>
      <c r="BJ667" s="78">
        <f t="shared" si="89"/>
        <v>0</v>
      </c>
      <c r="BK667" s="39"/>
      <c r="BL667" s="44">
        <v>39</v>
      </c>
      <c r="BM667" s="79">
        <f t="shared" si="84"/>
        <v>0</v>
      </c>
      <c r="BN667" s="75"/>
      <c r="BO667" s="75"/>
    </row>
    <row r="668" spans="1:67" s="4" customFormat="1" ht="31.2" x14ac:dyDescent="0.3">
      <c r="A668" s="48">
        <v>7</v>
      </c>
      <c r="B668" s="50" t="s">
        <v>508</v>
      </c>
      <c r="C668" s="39" t="s">
        <v>47</v>
      </c>
      <c r="D668" s="41">
        <v>0.4</v>
      </c>
      <c r="E668" s="41"/>
      <c r="F668" s="41">
        <v>0.4</v>
      </c>
      <c r="G668" s="39"/>
      <c r="H668" s="39"/>
      <c r="I668" s="39"/>
      <c r="J668" s="39">
        <v>0.4</v>
      </c>
      <c r="K668" s="50" t="s">
        <v>159</v>
      </c>
      <c r="L668" s="50" t="s">
        <v>154</v>
      </c>
      <c r="M668" s="110">
        <v>11</v>
      </c>
      <c r="N668" s="211">
        <v>523</v>
      </c>
      <c r="O668" s="110"/>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c r="BC668" s="39"/>
      <c r="BD668" s="39"/>
      <c r="BE668" s="39">
        <v>0.4</v>
      </c>
      <c r="BF668" s="39"/>
      <c r="BG668" s="39"/>
      <c r="BH668" s="39"/>
      <c r="BI668" s="39"/>
      <c r="BJ668" s="78">
        <f t="shared" si="89"/>
        <v>0</v>
      </c>
      <c r="BK668" s="39"/>
      <c r="BL668" s="44">
        <v>39</v>
      </c>
      <c r="BM668" s="79">
        <f t="shared" si="84"/>
        <v>0</v>
      </c>
      <c r="BN668" s="75"/>
      <c r="BO668" s="75"/>
    </row>
    <row r="669" spans="1:67" s="4" customFormat="1" ht="31.2" x14ac:dyDescent="0.3">
      <c r="A669" s="48">
        <v>8</v>
      </c>
      <c r="B669" s="50" t="s">
        <v>509</v>
      </c>
      <c r="C669" s="39" t="s">
        <v>47</v>
      </c>
      <c r="D669" s="39">
        <v>0.55000000000000004</v>
      </c>
      <c r="E669" s="39">
        <v>0.1</v>
      </c>
      <c r="F669" s="39">
        <v>0.45</v>
      </c>
      <c r="G669" s="39">
        <v>0.45</v>
      </c>
      <c r="H669" s="39"/>
      <c r="I669" s="39"/>
      <c r="J669" s="39">
        <v>0</v>
      </c>
      <c r="K669" s="101" t="s">
        <v>165</v>
      </c>
      <c r="L669" s="50" t="s">
        <v>154</v>
      </c>
      <c r="M669" s="110">
        <v>51</v>
      </c>
      <c r="N669" s="211">
        <v>524</v>
      </c>
      <c r="O669" s="110"/>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c r="BC669" s="39"/>
      <c r="BD669" s="39"/>
      <c r="BE669" s="39"/>
      <c r="BF669" s="39"/>
      <c r="BG669" s="39"/>
      <c r="BH669" s="39"/>
      <c r="BI669" s="39"/>
      <c r="BJ669" s="78">
        <f t="shared" si="89"/>
        <v>0</v>
      </c>
      <c r="BK669" s="39"/>
      <c r="BL669" s="44">
        <v>39</v>
      </c>
      <c r="BM669" s="79">
        <f t="shared" si="84"/>
        <v>0</v>
      </c>
      <c r="BN669" s="75"/>
      <c r="BO669" s="75"/>
    </row>
    <row r="670" spans="1:67" s="4" customFormat="1" ht="31.2" x14ac:dyDescent="0.3">
      <c r="A670" s="48">
        <v>9</v>
      </c>
      <c r="B670" s="50" t="s">
        <v>505</v>
      </c>
      <c r="C670" s="39" t="s">
        <v>47</v>
      </c>
      <c r="D670" s="39">
        <v>0.45</v>
      </c>
      <c r="E670" s="39"/>
      <c r="F670" s="39">
        <v>0.45</v>
      </c>
      <c r="G670" s="39">
        <v>0.45</v>
      </c>
      <c r="H670" s="39"/>
      <c r="I670" s="39"/>
      <c r="J670" s="39">
        <v>0</v>
      </c>
      <c r="K670" s="50" t="s">
        <v>194</v>
      </c>
      <c r="L670" s="50" t="s">
        <v>179</v>
      </c>
      <c r="M670" s="110">
        <v>63</v>
      </c>
      <c r="N670" s="211">
        <v>525</v>
      </c>
      <c r="O670" s="110"/>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c r="BC670" s="39"/>
      <c r="BD670" s="39"/>
      <c r="BE670" s="39"/>
      <c r="BF670" s="39"/>
      <c r="BG670" s="39"/>
      <c r="BH670" s="39"/>
      <c r="BI670" s="39"/>
      <c r="BJ670" s="78">
        <f t="shared" si="89"/>
        <v>0</v>
      </c>
      <c r="BK670" s="84"/>
      <c r="BL670" s="44">
        <v>39</v>
      </c>
      <c r="BM670" s="79">
        <f t="shared" si="84"/>
        <v>0</v>
      </c>
      <c r="BN670" s="75"/>
      <c r="BO670" s="75"/>
    </row>
    <row r="671" spans="1:67" s="4" customFormat="1" x14ac:dyDescent="0.3">
      <c r="A671" s="48">
        <v>10</v>
      </c>
      <c r="B671" s="50" t="s">
        <v>506</v>
      </c>
      <c r="C671" s="39" t="s">
        <v>47</v>
      </c>
      <c r="D671" s="39">
        <v>0.75</v>
      </c>
      <c r="E671" s="39"/>
      <c r="F671" s="39">
        <v>0.75</v>
      </c>
      <c r="G671" s="39">
        <v>0.75</v>
      </c>
      <c r="H671" s="39"/>
      <c r="I671" s="39"/>
      <c r="J671" s="39">
        <v>0</v>
      </c>
      <c r="K671" s="50" t="s">
        <v>184</v>
      </c>
      <c r="L671" s="50" t="s">
        <v>179</v>
      </c>
      <c r="M671" s="110">
        <v>65</v>
      </c>
      <c r="N671" s="211">
        <v>526</v>
      </c>
      <c r="O671" s="110"/>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c r="BC671" s="39"/>
      <c r="BD671" s="39"/>
      <c r="BE671" s="39"/>
      <c r="BF671" s="39"/>
      <c r="BG671" s="39"/>
      <c r="BH671" s="39"/>
      <c r="BI671" s="39"/>
      <c r="BJ671" s="78">
        <f t="shared" si="89"/>
        <v>0</v>
      </c>
      <c r="BK671" s="84"/>
      <c r="BL671" s="44">
        <v>39</v>
      </c>
      <c r="BM671" s="79">
        <f t="shared" si="84"/>
        <v>0</v>
      </c>
      <c r="BN671" s="75"/>
      <c r="BO671" s="75"/>
    </row>
    <row r="672" spans="1:67" s="4" customFormat="1" ht="31.2" x14ac:dyDescent="0.3">
      <c r="A672" s="48">
        <v>11</v>
      </c>
      <c r="B672" s="50" t="s">
        <v>787</v>
      </c>
      <c r="C672" s="39" t="s">
        <v>47</v>
      </c>
      <c r="D672" s="39">
        <v>0.5</v>
      </c>
      <c r="E672" s="39">
        <v>0.2</v>
      </c>
      <c r="F672" s="39">
        <v>0.3</v>
      </c>
      <c r="G672" s="39"/>
      <c r="H672" s="39"/>
      <c r="I672" s="39"/>
      <c r="J672" s="39">
        <v>0.3</v>
      </c>
      <c r="K672" s="50" t="s">
        <v>223</v>
      </c>
      <c r="L672" s="50" t="s">
        <v>208</v>
      </c>
      <c r="M672" s="99">
        <v>34</v>
      </c>
      <c r="N672" s="207">
        <v>527</v>
      </c>
      <c r="O672" s="99"/>
      <c r="P672" s="39"/>
      <c r="Q672" s="39"/>
      <c r="R672" s="39"/>
      <c r="S672" s="39"/>
      <c r="T672" s="39"/>
      <c r="U672" s="39"/>
      <c r="V672" s="39"/>
      <c r="W672" s="39"/>
      <c r="X672" s="39"/>
      <c r="Y672" s="39"/>
      <c r="Z672" s="39">
        <v>0.3</v>
      </c>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c r="BC672" s="39"/>
      <c r="BD672" s="39"/>
      <c r="BE672" s="39"/>
      <c r="BF672" s="39"/>
      <c r="BG672" s="39"/>
      <c r="BH672" s="39"/>
      <c r="BI672" s="39"/>
      <c r="BJ672" s="78">
        <f t="shared" si="89"/>
        <v>0</v>
      </c>
      <c r="BK672" s="84"/>
      <c r="BL672" s="44">
        <v>39</v>
      </c>
      <c r="BM672" s="79">
        <f t="shared" si="84"/>
        <v>0</v>
      </c>
      <c r="BN672" s="75"/>
      <c r="BO672" s="75"/>
    </row>
    <row r="673" spans="1:67" s="4" customFormat="1" x14ac:dyDescent="0.3">
      <c r="A673" s="48">
        <v>12</v>
      </c>
      <c r="B673" s="42" t="s">
        <v>507</v>
      </c>
      <c r="C673" s="43" t="s">
        <v>47</v>
      </c>
      <c r="D673" s="39">
        <v>0.7</v>
      </c>
      <c r="E673" s="39"/>
      <c r="F673" s="39">
        <v>0.7</v>
      </c>
      <c r="G673" s="39">
        <v>0</v>
      </c>
      <c r="H673" s="39"/>
      <c r="I673" s="39"/>
      <c r="J673" s="39">
        <v>0.7</v>
      </c>
      <c r="K673" s="42" t="s">
        <v>1010</v>
      </c>
      <c r="L673" s="42" t="s">
        <v>247</v>
      </c>
      <c r="M673" s="43">
        <v>44</v>
      </c>
      <c r="N673" s="210">
        <v>528</v>
      </c>
      <c r="O673" s="43"/>
      <c r="P673" s="84"/>
      <c r="Q673" s="84"/>
      <c r="R673" s="84"/>
      <c r="S673" s="84"/>
      <c r="T673" s="84"/>
      <c r="U673" s="84"/>
      <c r="V673" s="84"/>
      <c r="W673" s="84"/>
      <c r="X673" s="84">
        <v>0.7</v>
      </c>
      <c r="Y673" s="84"/>
      <c r="Z673" s="84"/>
      <c r="AA673" s="84"/>
      <c r="AB673" s="84"/>
      <c r="AC673" s="84"/>
      <c r="AD673" s="84"/>
      <c r="AE673" s="84"/>
      <c r="AF673" s="84"/>
      <c r="AG673" s="84"/>
      <c r="AH673" s="84"/>
      <c r="AI673" s="84"/>
      <c r="AJ673" s="84"/>
      <c r="AK673" s="84"/>
      <c r="AL673" s="84"/>
      <c r="AM673" s="84"/>
      <c r="AN673" s="84"/>
      <c r="AO673" s="84"/>
      <c r="AP673" s="84"/>
      <c r="AQ673" s="84"/>
      <c r="AR673" s="84"/>
      <c r="AS673" s="84"/>
      <c r="AT673" s="84"/>
      <c r="AU673" s="84"/>
      <c r="AV673" s="84"/>
      <c r="AW673" s="84"/>
      <c r="AX673" s="84"/>
      <c r="AY673" s="84"/>
      <c r="AZ673" s="84"/>
      <c r="BA673" s="84"/>
      <c r="BB673" s="84"/>
      <c r="BC673" s="84"/>
      <c r="BD673" s="84"/>
      <c r="BE673" s="84"/>
      <c r="BF673" s="84"/>
      <c r="BG673" s="84"/>
      <c r="BH673" s="84"/>
      <c r="BI673" s="84"/>
      <c r="BJ673" s="78">
        <f t="shared" si="89"/>
        <v>0</v>
      </c>
      <c r="BK673" s="84"/>
      <c r="BL673" s="44">
        <v>39</v>
      </c>
      <c r="BM673" s="79">
        <f t="shared" si="84"/>
        <v>0</v>
      </c>
      <c r="BN673" s="75"/>
      <c r="BO673" s="75"/>
    </row>
    <row r="674" spans="1:67" s="4" customFormat="1" ht="31.2" x14ac:dyDescent="0.3">
      <c r="A674" s="48">
        <v>14</v>
      </c>
      <c r="B674" s="42" t="s">
        <v>265</v>
      </c>
      <c r="C674" s="48" t="s">
        <v>47</v>
      </c>
      <c r="D674" s="41">
        <v>0.35</v>
      </c>
      <c r="E674" s="41">
        <v>0.12</v>
      </c>
      <c r="F674" s="41">
        <v>0.23</v>
      </c>
      <c r="G674" s="39">
        <v>0.11</v>
      </c>
      <c r="H674" s="39"/>
      <c r="I674" s="39"/>
      <c r="J674" s="39">
        <v>0.12</v>
      </c>
      <c r="K674" s="42" t="s">
        <v>1005</v>
      </c>
      <c r="L674" s="42" t="s">
        <v>261</v>
      </c>
      <c r="M674" s="48">
        <v>11</v>
      </c>
      <c r="N674" s="206">
        <v>530</v>
      </c>
      <c r="O674" s="48"/>
      <c r="P674" s="84"/>
      <c r="Q674" s="84"/>
      <c r="R674" s="84"/>
      <c r="S674" s="84"/>
      <c r="T674" s="84"/>
      <c r="U674" s="84"/>
      <c r="V674" s="84"/>
      <c r="W674" s="84"/>
      <c r="X674" s="84"/>
      <c r="Y674" s="84"/>
      <c r="Z674" s="84"/>
      <c r="AA674" s="84"/>
      <c r="AB674" s="84"/>
      <c r="AC674" s="84"/>
      <c r="AD674" s="84"/>
      <c r="AE674" s="84"/>
      <c r="AF674" s="84"/>
      <c r="AG674" s="118"/>
      <c r="AH674" s="84"/>
      <c r="AI674" s="84"/>
      <c r="AJ674" s="84"/>
      <c r="AK674" s="84"/>
      <c r="AL674" s="84"/>
      <c r="AM674" s="84"/>
      <c r="AN674" s="84"/>
      <c r="AO674" s="84">
        <v>0.12</v>
      </c>
      <c r="AP674" s="84"/>
      <c r="AQ674" s="84"/>
      <c r="AR674" s="84"/>
      <c r="AS674" s="84"/>
      <c r="AT674" s="84"/>
      <c r="AU674" s="84"/>
      <c r="AV674" s="84"/>
      <c r="AW674" s="84"/>
      <c r="AX674" s="84"/>
      <c r="AY674" s="84"/>
      <c r="AZ674" s="84"/>
      <c r="BA674" s="84"/>
      <c r="BB674" s="84"/>
      <c r="BC674" s="84"/>
      <c r="BD674" s="84"/>
      <c r="BE674" s="84"/>
      <c r="BF674" s="84"/>
      <c r="BG674" s="84"/>
      <c r="BH674" s="84"/>
      <c r="BI674" s="84"/>
      <c r="BJ674" s="78">
        <f t="shared" si="89"/>
        <v>0</v>
      </c>
      <c r="BK674" s="84"/>
      <c r="BL674" s="44">
        <v>39</v>
      </c>
      <c r="BM674" s="79">
        <f t="shared" si="84"/>
        <v>0</v>
      </c>
      <c r="BN674" s="75"/>
      <c r="BO674" s="75"/>
    </row>
    <row r="675" spans="1:67" s="4" customFormat="1" ht="31.5" customHeight="1" x14ac:dyDescent="0.3">
      <c r="A675" s="48">
        <v>15</v>
      </c>
      <c r="B675" s="42" t="s">
        <v>303</v>
      </c>
      <c r="C675" s="48" t="s">
        <v>47</v>
      </c>
      <c r="D675" s="39">
        <v>0.44</v>
      </c>
      <c r="E675" s="39"/>
      <c r="F675" s="39">
        <v>0.44</v>
      </c>
      <c r="G675" s="39"/>
      <c r="H675" s="39"/>
      <c r="I675" s="39"/>
      <c r="J675" s="39">
        <f>SUM(Z675:BG675)</f>
        <v>0.44</v>
      </c>
      <c r="K675" s="42" t="s">
        <v>298</v>
      </c>
      <c r="L675" s="42" t="s">
        <v>294</v>
      </c>
      <c r="M675" s="44">
        <v>41</v>
      </c>
      <c r="N675" s="209">
        <v>531</v>
      </c>
      <c r="O675" s="44"/>
      <c r="P675" s="84"/>
      <c r="Q675" s="84"/>
      <c r="R675" s="84"/>
      <c r="S675" s="84"/>
      <c r="T675" s="84"/>
      <c r="U675" s="84"/>
      <c r="V675" s="84"/>
      <c r="W675" s="84"/>
      <c r="X675" s="84"/>
      <c r="Y675" s="84"/>
      <c r="Z675" s="48"/>
      <c r="AA675" s="48"/>
      <c r="AB675" s="48"/>
      <c r="AC675" s="48"/>
      <c r="AD675" s="48"/>
      <c r="AE675" s="48"/>
      <c r="AF675" s="48"/>
      <c r="AG675" s="48"/>
      <c r="AH675" s="48"/>
      <c r="AI675" s="48"/>
      <c r="AJ675" s="48"/>
      <c r="AK675" s="48"/>
      <c r="AL675" s="48"/>
      <c r="AM675" s="48"/>
      <c r="AN675" s="48"/>
      <c r="AO675" s="48">
        <v>0.44</v>
      </c>
      <c r="AP675" s="48"/>
      <c r="AQ675" s="48"/>
      <c r="AR675" s="48"/>
      <c r="AS675" s="48"/>
      <c r="AT675" s="48"/>
      <c r="AU675" s="48"/>
      <c r="AV675" s="48"/>
      <c r="AW675" s="48"/>
      <c r="AX675" s="48"/>
      <c r="AY675" s="48"/>
      <c r="AZ675" s="48"/>
      <c r="BA675" s="48"/>
      <c r="BB675" s="48"/>
      <c r="BC675" s="48"/>
      <c r="BD675" s="48"/>
      <c r="BE675" s="48"/>
      <c r="BF675" s="48"/>
      <c r="BG675" s="48"/>
      <c r="BH675" s="48"/>
      <c r="BI675" s="48"/>
      <c r="BJ675" s="78">
        <f t="shared" si="89"/>
        <v>0</v>
      </c>
      <c r="BK675" s="48"/>
      <c r="BL675" s="44">
        <v>39</v>
      </c>
      <c r="BM675" s="79">
        <f t="shared" si="84"/>
        <v>0</v>
      </c>
      <c r="BN675" s="75"/>
      <c r="BO675" s="75"/>
    </row>
    <row r="676" spans="1:67" s="4" customFormat="1" ht="31.2" x14ac:dyDescent="0.3">
      <c r="A676" s="48">
        <v>16</v>
      </c>
      <c r="B676" s="42" t="s">
        <v>875</v>
      </c>
      <c r="C676" s="43" t="s">
        <v>783</v>
      </c>
      <c r="D676" s="39">
        <v>1.02</v>
      </c>
      <c r="E676" s="39"/>
      <c r="F676" s="39">
        <v>1.02</v>
      </c>
      <c r="G676" s="39">
        <v>1.02</v>
      </c>
      <c r="H676" s="39"/>
      <c r="I676" s="39"/>
      <c r="J676" s="39">
        <f>SUM(Z676:BG676)</f>
        <v>0</v>
      </c>
      <c r="K676" s="42" t="s">
        <v>383</v>
      </c>
      <c r="L676" s="42" t="s">
        <v>377</v>
      </c>
      <c r="M676" s="44">
        <v>14</v>
      </c>
      <c r="N676" s="209">
        <v>532</v>
      </c>
      <c r="O676" s="4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676" s="84"/>
      <c r="AN676" s="84"/>
      <c r="AO676" s="84"/>
      <c r="AP676" s="84"/>
      <c r="AQ676" s="84"/>
      <c r="AR676" s="84"/>
      <c r="AS676" s="84"/>
      <c r="AT676" s="84"/>
      <c r="AU676" s="84"/>
      <c r="AV676" s="84"/>
      <c r="AW676" s="84"/>
      <c r="AX676" s="84"/>
      <c r="AY676" s="84"/>
      <c r="AZ676" s="84"/>
      <c r="BA676" s="84"/>
      <c r="BB676" s="84"/>
      <c r="BC676" s="84"/>
      <c r="BD676" s="84"/>
      <c r="BE676" s="84"/>
      <c r="BF676" s="84"/>
      <c r="BG676" s="84"/>
      <c r="BH676" s="84"/>
      <c r="BI676" s="84"/>
      <c r="BJ676" s="78">
        <f t="shared" si="89"/>
        <v>0</v>
      </c>
      <c r="BK676" s="84"/>
      <c r="BL676" s="44">
        <v>39</v>
      </c>
      <c r="BM676" s="79">
        <f t="shared" si="84"/>
        <v>0</v>
      </c>
      <c r="BN676" s="75"/>
      <c r="BO676" s="75"/>
    </row>
    <row r="677" spans="1:67" s="4" customFormat="1" x14ac:dyDescent="0.3">
      <c r="A677" s="48">
        <v>17</v>
      </c>
      <c r="B677" s="42" t="s">
        <v>723</v>
      </c>
      <c r="C677" s="43" t="s">
        <v>47</v>
      </c>
      <c r="D677" s="41">
        <v>0.13</v>
      </c>
      <c r="E677" s="41">
        <v>0.09</v>
      </c>
      <c r="F677" s="41">
        <v>0.04</v>
      </c>
      <c r="G677" s="41">
        <v>0</v>
      </c>
      <c r="H677" s="41"/>
      <c r="I677" s="41"/>
      <c r="J677" s="41">
        <v>0.04</v>
      </c>
      <c r="K677" s="42" t="s">
        <v>964</v>
      </c>
      <c r="L677" s="42" t="s">
        <v>688</v>
      </c>
      <c r="M677" s="43">
        <v>19</v>
      </c>
      <c r="N677" s="210">
        <v>533</v>
      </c>
      <c r="O677" s="43"/>
      <c r="P677" s="97"/>
      <c r="Q677" s="97"/>
      <c r="R677" s="97"/>
      <c r="S677" s="97"/>
      <c r="T677" s="97"/>
      <c r="U677" s="97"/>
      <c r="V677" s="97"/>
      <c r="W677" s="97"/>
      <c r="X677" s="97"/>
      <c r="Y677" s="97"/>
      <c r="Z677" s="100"/>
      <c r="AA677" s="97">
        <v>0.04</v>
      </c>
      <c r="AB677" s="97"/>
      <c r="AC677" s="97"/>
      <c r="AD677" s="97"/>
      <c r="AE677" s="97"/>
      <c r="AF677" s="97"/>
      <c r="AG677" s="97"/>
      <c r="AH677" s="97"/>
      <c r="AI677" s="97"/>
      <c r="AJ677" s="97"/>
      <c r="AK677" s="97"/>
      <c r="AL677" s="97"/>
      <c r="AM677" s="100"/>
      <c r="AN677" s="97"/>
      <c r="AO677" s="97"/>
      <c r="AP677" s="97"/>
      <c r="AQ677" s="97"/>
      <c r="AR677" s="97"/>
      <c r="AS677" s="97"/>
      <c r="AT677" s="97"/>
      <c r="AU677" s="97"/>
      <c r="AV677" s="97"/>
      <c r="AW677" s="97"/>
      <c r="AX677" s="97"/>
      <c r="AY677" s="97"/>
      <c r="AZ677" s="97"/>
      <c r="BA677" s="97"/>
      <c r="BB677" s="97"/>
      <c r="BC677" s="97"/>
      <c r="BD677" s="97"/>
      <c r="BE677" s="97"/>
      <c r="BF677" s="97"/>
      <c r="BG677" s="97"/>
      <c r="BH677" s="97"/>
      <c r="BI677" s="97"/>
      <c r="BJ677" s="78">
        <f t="shared" si="89"/>
        <v>0</v>
      </c>
      <c r="BK677" s="97"/>
      <c r="BL677" s="97">
        <v>40</v>
      </c>
      <c r="BM677" s="79">
        <f t="shared" si="84"/>
        <v>0</v>
      </c>
      <c r="BN677" s="75"/>
      <c r="BO677" s="75"/>
    </row>
    <row r="678" spans="1:67" s="4" customFormat="1" x14ac:dyDescent="0.3">
      <c r="A678" s="48">
        <v>18</v>
      </c>
      <c r="B678" s="42" t="s">
        <v>724</v>
      </c>
      <c r="C678" s="95" t="s">
        <v>47</v>
      </c>
      <c r="D678" s="41">
        <v>0.21</v>
      </c>
      <c r="E678" s="41">
        <v>0.12</v>
      </c>
      <c r="F678" s="41">
        <v>0.09</v>
      </c>
      <c r="G678" s="41"/>
      <c r="H678" s="41"/>
      <c r="I678" s="41"/>
      <c r="J678" s="41">
        <v>0.09</v>
      </c>
      <c r="K678" s="42" t="s">
        <v>999</v>
      </c>
      <c r="L678" s="42" t="s">
        <v>688</v>
      </c>
      <c r="M678" s="95">
        <v>37</v>
      </c>
      <c r="N678" s="212">
        <v>534</v>
      </c>
      <c r="O678" s="95"/>
      <c r="P678" s="97"/>
      <c r="Q678" s="97"/>
      <c r="R678" s="97"/>
      <c r="S678" s="97"/>
      <c r="T678" s="97"/>
      <c r="U678" s="97"/>
      <c r="V678" s="97"/>
      <c r="W678" s="97"/>
      <c r="X678" s="97"/>
      <c r="Y678" s="97"/>
      <c r="Z678" s="97">
        <v>0.05</v>
      </c>
      <c r="AA678" s="97"/>
      <c r="AB678" s="97"/>
      <c r="AC678" s="97"/>
      <c r="AD678" s="97"/>
      <c r="AE678" s="97"/>
      <c r="AF678" s="97"/>
      <c r="AG678" s="97"/>
      <c r="AH678" s="97"/>
      <c r="AI678" s="97"/>
      <c r="AJ678" s="97"/>
      <c r="AK678" s="97"/>
      <c r="AL678" s="97"/>
      <c r="AM678" s="97"/>
      <c r="AN678" s="97"/>
      <c r="AO678" s="97"/>
      <c r="AP678" s="97"/>
      <c r="AQ678" s="97"/>
      <c r="AR678" s="97"/>
      <c r="AS678" s="97"/>
      <c r="AT678" s="97">
        <v>0.04</v>
      </c>
      <c r="AU678" s="97"/>
      <c r="AV678" s="97"/>
      <c r="AW678" s="97"/>
      <c r="AX678" s="97"/>
      <c r="AY678" s="97"/>
      <c r="AZ678" s="97"/>
      <c r="BA678" s="97"/>
      <c r="BB678" s="97"/>
      <c r="BC678" s="97"/>
      <c r="BD678" s="97"/>
      <c r="BE678" s="97"/>
      <c r="BF678" s="97"/>
      <c r="BG678" s="97"/>
      <c r="BH678" s="97"/>
      <c r="BI678" s="97"/>
      <c r="BJ678" s="78">
        <f t="shared" si="89"/>
        <v>0</v>
      </c>
      <c r="BK678" s="97"/>
      <c r="BL678" s="97">
        <v>40</v>
      </c>
      <c r="BM678" s="79">
        <f t="shared" si="84"/>
        <v>0</v>
      </c>
      <c r="BN678" s="75"/>
      <c r="BO678" s="75"/>
    </row>
    <row r="679" spans="1:67" s="4" customFormat="1" x14ac:dyDescent="0.3">
      <c r="A679" s="48">
        <v>19</v>
      </c>
      <c r="B679" s="42" t="s">
        <v>725</v>
      </c>
      <c r="C679" s="95" t="s">
        <v>47</v>
      </c>
      <c r="D679" s="41">
        <v>1.32</v>
      </c>
      <c r="E679" s="41"/>
      <c r="F679" s="41">
        <v>1.32</v>
      </c>
      <c r="G679" s="41">
        <v>0.82</v>
      </c>
      <c r="H679" s="41"/>
      <c r="I679" s="41"/>
      <c r="J679" s="41">
        <v>0.5</v>
      </c>
      <c r="K679" s="42" t="s">
        <v>846</v>
      </c>
      <c r="L679" s="42" t="s">
        <v>688</v>
      </c>
      <c r="M679" s="95">
        <v>41</v>
      </c>
      <c r="N679" s="212">
        <v>535</v>
      </c>
      <c r="O679" s="95"/>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v>0.3</v>
      </c>
      <c r="AO679" s="97"/>
      <c r="AP679" s="97"/>
      <c r="AQ679" s="97"/>
      <c r="AR679" s="97"/>
      <c r="AS679" s="97"/>
      <c r="AT679" s="97"/>
      <c r="AU679" s="97"/>
      <c r="AV679" s="97"/>
      <c r="AW679" s="97"/>
      <c r="AX679" s="97"/>
      <c r="AY679" s="97"/>
      <c r="AZ679" s="97"/>
      <c r="BA679" s="97"/>
      <c r="BB679" s="97"/>
      <c r="BC679" s="97"/>
      <c r="BD679" s="97"/>
      <c r="BE679" s="97">
        <v>0.2</v>
      </c>
      <c r="BF679" s="97"/>
      <c r="BG679" s="97"/>
      <c r="BH679" s="97"/>
      <c r="BI679" s="97"/>
      <c r="BJ679" s="78">
        <f t="shared" si="89"/>
        <v>0</v>
      </c>
      <c r="BK679" s="97"/>
      <c r="BL679" s="97">
        <v>40</v>
      </c>
      <c r="BM679" s="79">
        <f t="shared" si="84"/>
        <v>0</v>
      </c>
      <c r="BN679" s="75"/>
      <c r="BO679" s="75"/>
    </row>
    <row r="680" spans="1:67" ht="31.2" x14ac:dyDescent="0.3">
      <c r="A680" s="76" t="s">
        <v>646</v>
      </c>
      <c r="B680" s="77" t="s">
        <v>647</v>
      </c>
      <c r="C680" s="80" t="s">
        <v>48</v>
      </c>
      <c r="D680" s="81">
        <f>SUM(D681:D693)</f>
        <v>12.850000000000001</v>
      </c>
      <c r="E680" s="81">
        <f t="shared" ref="E680:BH680" si="90">SUM(E681:E693)</f>
        <v>0.28000000000000003</v>
      </c>
      <c r="F680" s="81">
        <f t="shared" si="90"/>
        <v>12.57</v>
      </c>
      <c r="G680" s="81">
        <f t="shared" si="90"/>
        <v>5.68</v>
      </c>
      <c r="H680" s="81">
        <f t="shared" si="90"/>
        <v>0</v>
      </c>
      <c r="I680" s="81">
        <f t="shared" si="90"/>
        <v>0</v>
      </c>
      <c r="J680" s="81">
        <f t="shared" si="90"/>
        <v>6.8900000000000006</v>
      </c>
      <c r="K680" s="81">
        <f t="shared" si="90"/>
        <v>0</v>
      </c>
      <c r="L680" s="81">
        <f t="shared" si="90"/>
        <v>0</v>
      </c>
      <c r="M680" s="81"/>
      <c r="N680" s="81"/>
      <c r="O680" s="81">
        <f t="shared" si="90"/>
        <v>0</v>
      </c>
      <c r="P680" s="81">
        <f t="shared" si="90"/>
        <v>0</v>
      </c>
      <c r="Q680" s="81">
        <f t="shared" si="90"/>
        <v>0</v>
      </c>
      <c r="R680" s="81">
        <f t="shared" si="90"/>
        <v>0</v>
      </c>
      <c r="S680" s="81">
        <f t="shared" si="90"/>
        <v>0</v>
      </c>
      <c r="T680" s="81">
        <f t="shared" si="90"/>
        <v>0</v>
      </c>
      <c r="U680" s="81">
        <f t="shared" si="90"/>
        <v>0</v>
      </c>
      <c r="V680" s="81">
        <f t="shared" si="90"/>
        <v>0</v>
      </c>
      <c r="W680" s="81">
        <f t="shared" si="90"/>
        <v>0</v>
      </c>
      <c r="X680" s="81">
        <f t="shared" si="90"/>
        <v>0</v>
      </c>
      <c r="Y680" s="81">
        <f t="shared" si="90"/>
        <v>0</v>
      </c>
      <c r="Z680" s="81">
        <f t="shared" si="90"/>
        <v>1.18</v>
      </c>
      <c r="AA680" s="81">
        <f t="shared" si="90"/>
        <v>0.26</v>
      </c>
      <c r="AB680" s="81">
        <f t="shared" si="90"/>
        <v>3.67</v>
      </c>
      <c r="AC680" s="81">
        <f t="shared" si="90"/>
        <v>0</v>
      </c>
      <c r="AD680" s="81">
        <f t="shared" si="90"/>
        <v>0</v>
      </c>
      <c r="AE680" s="81">
        <f t="shared" si="90"/>
        <v>0</v>
      </c>
      <c r="AF680" s="81">
        <f t="shared" si="90"/>
        <v>0</v>
      </c>
      <c r="AG680" s="81">
        <f t="shared" si="90"/>
        <v>0.38</v>
      </c>
      <c r="AH680" s="81">
        <f t="shared" si="90"/>
        <v>0</v>
      </c>
      <c r="AI680" s="81">
        <f t="shared" si="90"/>
        <v>0</v>
      </c>
      <c r="AJ680" s="81">
        <f t="shared" si="90"/>
        <v>0</v>
      </c>
      <c r="AK680" s="81">
        <f t="shared" si="90"/>
        <v>0</v>
      </c>
      <c r="AL680" s="81">
        <f t="shared" si="90"/>
        <v>0</v>
      </c>
      <c r="AM680" s="81">
        <f t="shared" si="90"/>
        <v>0</v>
      </c>
      <c r="AN680" s="81">
        <f t="shared" si="90"/>
        <v>0</v>
      </c>
      <c r="AO680" s="81">
        <f t="shared" si="90"/>
        <v>0</v>
      </c>
      <c r="AP680" s="81">
        <f t="shared" si="90"/>
        <v>0</v>
      </c>
      <c r="AQ680" s="81">
        <f t="shared" si="90"/>
        <v>0.51</v>
      </c>
      <c r="AR680" s="81">
        <f t="shared" si="90"/>
        <v>0.15000000000000002</v>
      </c>
      <c r="AS680" s="81">
        <f t="shared" si="90"/>
        <v>0</v>
      </c>
      <c r="AT680" s="81">
        <f t="shared" si="90"/>
        <v>0</v>
      </c>
      <c r="AU680" s="81">
        <f t="shared" si="90"/>
        <v>0</v>
      </c>
      <c r="AV680" s="81">
        <f t="shared" si="90"/>
        <v>0</v>
      </c>
      <c r="AW680" s="81">
        <f t="shared" si="90"/>
        <v>0</v>
      </c>
      <c r="AX680" s="81">
        <f t="shared" si="90"/>
        <v>0</v>
      </c>
      <c r="AY680" s="81">
        <f t="shared" si="90"/>
        <v>0</v>
      </c>
      <c r="AZ680" s="81">
        <f t="shared" si="90"/>
        <v>0</v>
      </c>
      <c r="BA680" s="81">
        <f t="shared" si="90"/>
        <v>0</v>
      </c>
      <c r="BB680" s="81">
        <f t="shared" si="90"/>
        <v>0</v>
      </c>
      <c r="BC680" s="81">
        <f t="shared" si="90"/>
        <v>0</v>
      </c>
      <c r="BD680" s="81">
        <f t="shared" si="90"/>
        <v>0.32</v>
      </c>
      <c r="BE680" s="81">
        <f t="shared" si="90"/>
        <v>0.42000000000000004</v>
      </c>
      <c r="BF680" s="81">
        <f t="shared" si="90"/>
        <v>0</v>
      </c>
      <c r="BG680" s="81">
        <f t="shared" si="90"/>
        <v>0</v>
      </c>
      <c r="BH680" s="81">
        <f t="shared" si="90"/>
        <v>0</v>
      </c>
      <c r="BI680" s="90"/>
      <c r="BJ680" s="78">
        <f t="shared" si="89"/>
        <v>0</v>
      </c>
      <c r="BK680" s="84"/>
      <c r="BL680" s="44">
        <v>40</v>
      </c>
      <c r="BM680" s="79">
        <f t="shared" si="84"/>
        <v>0</v>
      </c>
      <c r="BN680" s="75"/>
      <c r="BO680" s="75"/>
    </row>
    <row r="681" spans="1:67" s="4" customFormat="1" ht="31.2" x14ac:dyDescent="0.3">
      <c r="A681" s="48">
        <v>1</v>
      </c>
      <c r="B681" s="42" t="s">
        <v>497</v>
      </c>
      <c r="C681" s="48" t="s">
        <v>48</v>
      </c>
      <c r="D681" s="39">
        <v>0.95</v>
      </c>
      <c r="E681" s="39"/>
      <c r="F681" s="39">
        <f>D681</f>
        <v>0.95</v>
      </c>
      <c r="G681" s="39">
        <f>F681-J681</f>
        <v>0.78999999999999992</v>
      </c>
      <c r="H681" s="41"/>
      <c r="I681" s="39"/>
      <c r="J681" s="107">
        <v>0.16</v>
      </c>
      <c r="K681" s="42" t="s">
        <v>87</v>
      </c>
      <c r="L681" s="42" t="s">
        <v>81</v>
      </c>
      <c r="M681" s="48">
        <v>54</v>
      </c>
      <c r="N681" s="206">
        <v>537</v>
      </c>
      <c r="O681" s="48"/>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L681" s="84"/>
      <c r="AM681" s="84"/>
      <c r="AN681" s="84"/>
      <c r="AO681" s="84"/>
      <c r="AP681" s="84"/>
      <c r="AQ681" s="84">
        <v>0.16</v>
      </c>
      <c r="AR681" s="84"/>
      <c r="AS681" s="84"/>
      <c r="AT681" s="84"/>
      <c r="AU681" s="84"/>
      <c r="AV681" s="84"/>
      <c r="AW681" s="84"/>
      <c r="AX681" s="84"/>
      <c r="AY681" s="84"/>
      <c r="AZ681" s="84"/>
      <c r="BA681" s="84"/>
      <c r="BB681" s="84"/>
      <c r="BC681" s="84"/>
      <c r="BD681" s="84"/>
      <c r="BE681" s="84"/>
      <c r="BF681" s="84"/>
      <c r="BG681" s="84"/>
      <c r="BH681" s="84"/>
      <c r="BI681" s="84"/>
      <c r="BJ681" s="78">
        <f t="shared" si="89"/>
        <v>0</v>
      </c>
      <c r="BK681" s="84"/>
      <c r="BL681" s="44">
        <v>40</v>
      </c>
      <c r="BM681" s="79">
        <f t="shared" si="84"/>
        <v>0</v>
      </c>
      <c r="BN681" s="75"/>
      <c r="BO681" s="75"/>
    </row>
    <row r="682" spans="1:67" s="4" customFormat="1" x14ac:dyDescent="0.3">
      <c r="A682" s="48">
        <v>2</v>
      </c>
      <c r="B682" s="42" t="s">
        <v>498</v>
      </c>
      <c r="C682" s="48" t="s">
        <v>48</v>
      </c>
      <c r="D682" s="39">
        <v>0.2</v>
      </c>
      <c r="E682" s="39"/>
      <c r="F682" s="39">
        <f>D682</f>
        <v>0.2</v>
      </c>
      <c r="G682" s="39">
        <f>F682</f>
        <v>0.2</v>
      </c>
      <c r="H682" s="41"/>
      <c r="I682" s="39"/>
      <c r="J682" s="107"/>
      <c r="K682" s="42" t="s">
        <v>939</v>
      </c>
      <c r="L682" s="42" t="s">
        <v>81</v>
      </c>
      <c r="M682" s="48">
        <v>55</v>
      </c>
      <c r="N682" s="206">
        <v>538</v>
      </c>
      <c r="O682" s="48"/>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682" s="84"/>
      <c r="AN682" s="84"/>
      <c r="AO682" s="84"/>
      <c r="AP682" s="84"/>
      <c r="AQ682" s="84"/>
      <c r="AR682" s="84"/>
      <c r="AS682" s="84"/>
      <c r="AT682" s="84"/>
      <c r="AU682" s="84"/>
      <c r="AV682" s="84"/>
      <c r="AW682" s="84"/>
      <c r="AX682" s="84"/>
      <c r="AY682" s="84"/>
      <c r="AZ682" s="84"/>
      <c r="BA682" s="84"/>
      <c r="BB682" s="84"/>
      <c r="BC682" s="84"/>
      <c r="BD682" s="84"/>
      <c r="BE682" s="84"/>
      <c r="BF682" s="84"/>
      <c r="BG682" s="84"/>
      <c r="BH682" s="84"/>
      <c r="BI682" s="84"/>
      <c r="BJ682" s="78">
        <f t="shared" si="89"/>
        <v>0</v>
      </c>
      <c r="BK682" s="84"/>
      <c r="BL682" s="44">
        <v>40</v>
      </c>
      <c r="BM682" s="79">
        <f t="shared" si="84"/>
        <v>0</v>
      </c>
      <c r="BN682" s="75"/>
      <c r="BO682" s="75"/>
    </row>
    <row r="683" spans="1:67" s="4" customFormat="1" x14ac:dyDescent="0.3">
      <c r="A683" s="48">
        <v>3</v>
      </c>
      <c r="B683" s="42" t="s">
        <v>282</v>
      </c>
      <c r="C683" s="48" t="s">
        <v>48</v>
      </c>
      <c r="D683" s="39">
        <v>0.85</v>
      </c>
      <c r="E683" s="39"/>
      <c r="F683" s="39">
        <v>0.85</v>
      </c>
      <c r="G683" s="41">
        <v>0.7</v>
      </c>
      <c r="H683" s="41"/>
      <c r="I683" s="39"/>
      <c r="J683" s="41">
        <v>0.15</v>
      </c>
      <c r="K683" s="94" t="s">
        <v>881</v>
      </c>
      <c r="L683" s="42" t="s">
        <v>91</v>
      </c>
      <c r="M683" s="48" t="s">
        <v>884</v>
      </c>
      <c r="N683" s="206">
        <v>539</v>
      </c>
      <c r="O683" s="48"/>
      <c r="P683" s="42"/>
      <c r="Q683" s="84"/>
      <c r="R683" s="84"/>
      <c r="S683" s="84"/>
      <c r="T683" s="84"/>
      <c r="U683" s="84"/>
      <c r="V683" s="84"/>
      <c r="W683" s="84"/>
      <c r="X683" s="84"/>
      <c r="Y683" s="84"/>
      <c r="Z683" s="84"/>
      <c r="AA683" s="84">
        <v>0.15</v>
      </c>
      <c r="AB683" s="84"/>
      <c r="AC683" s="84"/>
      <c r="AD683" s="84"/>
      <c r="AE683" s="84"/>
      <c r="AF683" s="84"/>
      <c r="AG683" s="84"/>
      <c r="AH683" s="84"/>
      <c r="AI683" s="84"/>
      <c r="AJ683" s="84"/>
      <c r="AK683" s="84"/>
      <c r="AL683" s="84"/>
      <c r="AM683" s="84"/>
      <c r="AN683" s="84"/>
      <c r="AO683" s="84"/>
      <c r="AP683" s="84"/>
      <c r="AQ683" s="84"/>
      <c r="AR683" s="84"/>
      <c r="AS683" s="84"/>
      <c r="AT683" s="84"/>
      <c r="AU683" s="84"/>
      <c r="AV683" s="84"/>
      <c r="AW683" s="84"/>
      <c r="AX683" s="84"/>
      <c r="AY683" s="84"/>
      <c r="AZ683" s="84"/>
      <c r="BA683" s="84"/>
      <c r="BB683" s="84"/>
      <c r="BC683" s="84"/>
      <c r="BD683" s="84"/>
      <c r="BE683" s="84"/>
      <c r="BF683" s="84"/>
      <c r="BG683" s="84"/>
      <c r="BH683" s="84"/>
      <c r="BI683" s="84"/>
      <c r="BJ683" s="78">
        <f t="shared" si="89"/>
        <v>0</v>
      </c>
      <c r="BK683" s="84"/>
      <c r="BL683" s="44">
        <v>40</v>
      </c>
      <c r="BM683" s="79">
        <f t="shared" si="84"/>
        <v>0</v>
      </c>
      <c r="BN683" s="75"/>
      <c r="BO683" s="75"/>
    </row>
    <row r="684" spans="1:67" s="4" customFormat="1" ht="27.75" customHeight="1" x14ac:dyDescent="0.3">
      <c r="A684" s="48">
        <v>4</v>
      </c>
      <c r="B684" s="42" t="s">
        <v>251</v>
      </c>
      <c r="C684" s="48" t="s">
        <v>48</v>
      </c>
      <c r="D684" s="39">
        <v>0.38</v>
      </c>
      <c r="E684" s="39"/>
      <c r="F684" s="39">
        <v>0.38</v>
      </c>
      <c r="G684" s="39"/>
      <c r="H684" s="39"/>
      <c r="I684" s="39"/>
      <c r="J684" s="39">
        <v>0.38</v>
      </c>
      <c r="K684" s="42" t="s">
        <v>1008</v>
      </c>
      <c r="L684" s="42" t="s">
        <v>247</v>
      </c>
      <c r="M684" s="48">
        <v>26</v>
      </c>
      <c r="N684" s="206">
        <v>540</v>
      </c>
      <c r="O684" s="48"/>
      <c r="P684" s="84"/>
      <c r="Q684" s="84"/>
      <c r="R684" s="84"/>
      <c r="S684" s="84"/>
      <c r="T684" s="84"/>
      <c r="U684" s="84"/>
      <c r="V684" s="84"/>
      <c r="W684" s="84"/>
      <c r="X684" s="84"/>
      <c r="Y684" s="84"/>
      <c r="Z684" s="84"/>
      <c r="AA684" s="84"/>
      <c r="AB684" s="84"/>
      <c r="AC684" s="84"/>
      <c r="AD684" s="84"/>
      <c r="AE684" s="84"/>
      <c r="AF684" s="84"/>
      <c r="AG684" s="84">
        <v>0.38</v>
      </c>
      <c r="AH684" s="84"/>
      <c r="AI684" s="84"/>
      <c r="AJ684" s="84"/>
      <c r="AK684" s="84"/>
      <c r="AL684" s="84"/>
      <c r="AM684" s="84"/>
      <c r="AN684" s="84"/>
      <c r="AO684" s="84"/>
      <c r="AP684" s="84"/>
      <c r="AQ684" s="84"/>
      <c r="AR684" s="84"/>
      <c r="AS684" s="84"/>
      <c r="AT684" s="84"/>
      <c r="AU684" s="84"/>
      <c r="AV684" s="84"/>
      <c r="AW684" s="84"/>
      <c r="AX684" s="84"/>
      <c r="AY684" s="84"/>
      <c r="AZ684" s="84"/>
      <c r="BA684" s="84"/>
      <c r="BB684" s="84"/>
      <c r="BC684" s="84"/>
      <c r="BD684" s="84"/>
      <c r="BE684" s="118"/>
      <c r="BF684" s="84"/>
      <c r="BG684" s="84"/>
      <c r="BH684" s="84"/>
      <c r="BI684" s="84"/>
      <c r="BJ684" s="78">
        <f t="shared" si="89"/>
        <v>0</v>
      </c>
      <c r="BK684" s="84"/>
      <c r="BL684" s="44">
        <v>40</v>
      </c>
      <c r="BM684" s="79">
        <f t="shared" si="84"/>
        <v>0</v>
      </c>
      <c r="BN684" s="75"/>
      <c r="BO684" s="75"/>
    </row>
    <row r="685" spans="1:67" s="4" customFormat="1" x14ac:dyDescent="0.3">
      <c r="A685" s="48">
        <v>5</v>
      </c>
      <c r="B685" s="42" t="s">
        <v>270</v>
      </c>
      <c r="C685" s="48" t="s">
        <v>48</v>
      </c>
      <c r="D685" s="39">
        <v>3</v>
      </c>
      <c r="E685" s="39"/>
      <c r="F685" s="39">
        <v>3</v>
      </c>
      <c r="G685" s="39">
        <v>2.25</v>
      </c>
      <c r="H685" s="39"/>
      <c r="I685" s="39"/>
      <c r="J685" s="39">
        <v>0.75</v>
      </c>
      <c r="K685" s="42" t="s">
        <v>978</v>
      </c>
      <c r="L685" s="42" t="s">
        <v>261</v>
      </c>
      <c r="M685" s="48">
        <v>21</v>
      </c>
      <c r="N685" s="206">
        <v>541</v>
      </c>
      <c r="O685" s="48"/>
      <c r="P685" s="84"/>
      <c r="Q685" s="84"/>
      <c r="R685" s="84"/>
      <c r="S685" s="84"/>
      <c r="T685" s="84"/>
      <c r="U685" s="84"/>
      <c r="V685" s="84"/>
      <c r="W685" s="84"/>
      <c r="X685" s="84"/>
      <c r="Y685" s="84"/>
      <c r="Z685" s="118">
        <v>0.5</v>
      </c>
      <c r="AA685" s="84">
        <v>0.08</v>
      </c>
      <c r="AB685" s="84">
        <v>7.0000000000000007E-2</v>
      </c>
      <c r="AC685" s="84"/>
      <c r="AD685" s="84"/>
      <c r="AE685" s="84"/>
      <c r="AF685" s="84"/>
      <c r="AG685" s="84"/>
      <c r="AH685" s="84"/>
      <c r="AI685" s="84"/>
      <c r="AJ685" s="84"/>
      <c r="AK685" s="84"/>
      <c r="AL685" s="84"/>
      <c r="AM685" s="118"/>
      <c r="AN685" s="84"/>
      <c r="AO685" s="84"/>
      <c r="AP685" s="84"/>
      <c r="AQ685" s="84">
        <v>0.05</v>
      </c>
      <c r="AR685" s="84">
        <v>0.05</v>
      </c>
      <c r="AS685" s="84"/>
      <c r="AT685" s="84"/>
      <c r="AU685" s="84"/>
      <c r="AV685" s="84"/>
      <c r="AW685" s="84"/>
      <c r="AX685" s="84"/>
      <c r="AY685" s="84"/>
      <c r="AZ685" s="84"/>
      <c r="BA685" s="84"/>
      <c r="BB685" s="84"/>
      <c r="BC685" s="84"/>
      <c r="BD685" s="84"/>
      <c r="BE685" s="84"/>
      <c r="BF685" s="84"/>
      <c r="BG685" s="84"/>
      <c r="BH685" s="84"/>
      <c r="BI685" s="84"/>
      <c r="BJ685" s="78">
        <f t="shared" si="89"/>
        <v>0</v>
      </c>
      <c r="BK685" s="84"/>
      <c r="BL685" s="44">
        <v>40</v>
      </c>
      <c r="BM685" s="79">
        <f t="shared" si="84"/>
        <v>0</v>
      </c>
      <c r="BN685" s="75"/>
      <c r="BO685" s="75"/>
    </row>
    <row r="686" spans="1:67" s="4" customFormat="1" ht="24" customHeight="1" x14ac:dyDescent="0.3">
      <c r="A686" s="48">
        <v>6</v>
      </c>
      <c r="B686" s="42" t="s">
        <v>282</v>
      </c>
      <c r="C686" s="48" t="s">
        <v>48</v>
      </c>
      <c r="D686" s="39">
        <v>0.21</v>
      </c>
      <c r="E686" s="39"/>
      <c r="F686" s="39">
        <v>0.21</v>
      </c>
      <c r="G686" s="39">
        <v>0.21</v>
      </c>
      <c r="H686" s="39"/>
      <c r="I686" s="39"/>
      <c r="J686" s="39"/>
      <c r="K686" s="42" t="s">
        <v>949</v>
      </c>
      <c r="L686" s="42" t="s">
        <v>280</v>
      </c>
      <c r="M686" s="48">
        <v>20</v>
      </c>
      <c r="N686" s="206">
        <v>542</v>
      </c>
      <c r="O686" s="48"/>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686" s="84"/>
      <c r="AN686" s="84"/>
      <c r="AO686" s="84"/>
      <c r="AP686" s="84"/>
      <c r="AQ686" s="84"/>
      <c r="AR686" s="84"/>
      <c r="AS686" s="84"/>
      <c r="AT686" s="84"/>
      <c r="AU686" s="84"/>
      <c r="AV686" s="84"/>
      <c r="AW686" s="84"/>
      <c r="AX686" s="84"/>
      <c r="AY686" s="84"/>
      <c r="AZ686" s="84"/>
      <c r="BA686" s="84"/>
      <c r="BB686" s="84"/>
      <c r="BC686" s="84"/>
      <c r="BD686" s="84"/>
      <c r="BE686" s="84"/>
      <c r="BF686" s="84"/>
      <c r="BG686" s="84"/>
      <c r="BH686" s="84"/>
      <c r="BI686" s="84"/>
      <c r="BJ686" s="78">
        <f t="shared" si="89"/>
        <v>0</v>
      </c>
      <c r="BK686" s="84"/>
      <c r="BL686" s="44">
        <v>40</v>
      </c>
      <c r="BM686" s="79">
        <f t="shared" si="84"/>
        <v>0</v>
      </c>
      <c r="BN686" s="75"/>
      <c r="BO686" s="75"/>
    </row>
    <row r="687" spans="1:67" s="4" customFormat="1" ht="23.25" customHeight="1" x14ac:dyDescent="0.3">
      <c r="A687" s="48">
        <v>7</v>
      </c>
      <c r="B687" s="42" t="s">
        <v>367</v>
      </c>
      <c r="C687" s="48" t="s">
        <v>48</v>
      </c>
      <c r="D687" s="39">
        <v>0.46</v>
      </c>
      <c r="E687" s="39"/>
      <c r="F687" s="39">
        <v>0.46</v>
      </c>
      <c r="G687" s="39">
        <v>7.0000000000000007E-2</v>
      </c>
      <c r="H687" s="39"/>
      <c r="I687" s="39"/>
      <c r="J687" s="39">
        <f>SUM(V687:BG687)</f>
        <v>0.39</v>
      </c>
      <c r="K687" s="42" t="s">
        <v>363</v>
      </c>
      <c r="L687" s="42" t="s">
        <v>364</v>
      </c>
      <c r="M687" s="44">
        <v>10</v>
      </c>
      <c r="N687" s="209">
        <v>543</v>
      </c>
      <c r="O687" s="44"/>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c r="BC687" s="39"/>
      <c r="BD687" s="39">
        <f>0.46-0.14</f>
        <v>0.32</v>
      </c>
      <c r="BE687" s="39">
        <f>0.07</f>
        <v>7.0000000000000007E-2</v>
      </c>
      <c r="BF687" s="39"/>
      <c r="BG687" s="39"/>
      <c r="BH687" s="39"/>
      <c r="BI687" s="39"/>
      <c r="BJ687" s="78">
        <f t="shared" si="89"/>
        <v>0</v>
      </c>
      <c r="BK687" s="84"/>
      <c r="BL687" s="44">
        <v>40</v>
      </c>
      <c r="BM687" s="79">
        <f t="shared" si="84"/>
        <v>0</v>
      </c>
      <c r="BN687" s="75"/>
      <c r="BO687" s="75"/>
    </row>
    <row r="688" spans="1:67" s="4" customFormat="1" ht="31.2" x14ac:dyDescent="0.3">
      <c r="A688" s="48">
        <v>8</v>
      </c>
      <c r="B688" s="42" t="s">
        <v>384</v>
      </c>
      <c r="C688" s="48" t="s">
        <v>48</v>
      </c>
      <c r="D688" s="39">
        <v>0.39</v>
      </c>
      <c r="E688" s="39"/>
      <c r="F688" s="39">
        <v>0.39</v>
      </c>
      <c r="G688" s="39">
        <v>0.39</v>
      </c>
      <c r="H688" s="39"/>
      <c r="I688" s="39"/>
      <c r="J688" s="39">
        <f>SUM(Z688:BG688)</f>
        <v>0</v>
      </c>
      <c r="K688" s="42" t="s">
        <v>380</v>
      </c>
      <c r="L688" s="42" t="s">
        <v>377</v>
      </c>
      <c r="M688" s="44">
        <v>13</v>
      </c>
      <c r="N688" s="209">
        <v>544</v>
      </c>
      <c r="O688" s="4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688" s="84"/>
      <c r="AN688" s="84"/>
      <c r="AO688" s="84"/>
      <c r="AP688" s="84"/>
      <c r="AQ688" s="84"/>
      <c r="AR688" s="84"/>
      <c r="AS688" s="84"/>
      <c r="AT688" s="84"/>
      <c r="AU688" s="84"/>
      <c r="AV688" s="84"/>
      <c r="AW688" s="84"/>
      <c r="AX688" s="84"/>
      <c r="AY688" s="84"/>
      <c r="AZ688" s="84"/>
      <c r="BA688" s="84"/>
      <c r="BB688" s="84"/>
      <c r="BC688" s="84"/>
      <c r="BD688" s="84"/>
      <c r="BE688" s="84"/>
      <c r="BF688" s="84"/>
      <c r="BG688" s="84"/>
      <c r="BH688" s="84"/>
      <c r="BI688" s="84"/>
      <c r="BJ688" s="78">
        <f t="shared" si="89"/>
        <v>0</v>
      </c>
      <c r="BK688" s="84"/>
      <c r="BL688" s="44">
        <v>40</v>
      </c>
      <c r="BM688" s="79">
        <f t="shared" si="84"/>
        <v>0</v>
      </c>
      <c r="BN688" s="75"/>
      <c r="BO688" s="75"/>
    </row>
    <row r="689" spans="1:67" s="4" customFormat="1" ht="31.2" x14ac:dyDescent="0.3">
      <c r="A689" s="48">
        <v>9</v>
      </c>
      <c r="B689" s="42" t="s">
        <v>251</v>
      </c>
      <c r="C689" s="48" t="s">
        <v>48</v>
      </c>
      <c r="D689" s="39">
        <v>1.03</v>
      </c>
      <c r="E689" s="39"/>
      <c r="F689" s="39">
        <v>1.03</v>
      </c>
      <c r="G689" s="39">
        <f>1.03-0.1</f>
        <v>0.93</v>
      </c>
      <c r="H689" s="39"/>
      <c r="I689" s="39"/>
      <c r="J689" s="39">
        <f>SUM(P689:BE689)</f>
        <v>0.1</v>
      </c>
      <c r="K689" s="102" t="s">
        <v>397</v>
      </c>
      <c r="L689" s="42" t="s">
        <v>395</v>
      </c>
      <c r="M689" s="44">
        <v>12</v>
      </c>
      <c r="N689" s="209">
        <v>545</v>
      </c>
      <c r="O689" s="44"/>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19"/>
      <c r="BE689" s="119">
        <v>0.1</v>
      </c>
      <c r="BF689" s="119"/>
      <c r="BG689" s="119"/>
      <c r="BH689" s="119"/>
      <c r="BI689" s="119"/>
      <c r="BJ689" s="78">
        <f t="shared" si="89"/>
        <v>0</v>
      </c>
      <c r="BK689" s="84"/>
      <c r="BL689" s="44">
        <v>40</v>
      </c>
      <c r="BM689" s="79">
        <f t="shared" si="84"/>
        <v>0</v>
      </c>
      <c r="BN689" s="75"/>
      <c r="BO689" s="75"/>
    </row>
    <row r="690" spans="1:67" s="4" customFormat="1" x14ac:dyDescent="0.3">
      <c r="A690" s="48">
        <v>10</v>
      </c>
      <c r="B690" s="42" t="s">
        <v>251</v>
      </c>
      <c r="C690" s="48" t="s">
        <v>48</v>
      </c>
      <c r="D690" s="39">
        <v>0.38</v>
      </c>
      <c r="E690" s="39"/>
      <c r="F690" s="39">
        <v>0.38</v>
      </c>
      <c r="G690" s="39"/>
      <c r="H690" s="39"/>
      <c r="I690" s="39"/>
      <c r="J690" s="39">
        <v>0.38</v>
      </c>
      <c r="K690" s="102" t="s">
        <v>1190</v>
      </c>
      <c r="L690" s="42" t="s">
        <v>261</v>
      </c>
      <c r="M690" s="44">
        <v>38</v>
      </c>
      <c r="N690" s="209">
        <v>801</v>
      </c>
      <c r="O690" s="44"/>
      <c r="P690" s="119"/>
      <c r="Q690" s="119"/>
      <c r="R690" s="119"/>
      <c r="S690" s="119"/>
      <c r="T690" s="119"/>
      <c r="U690" s="119"/>
      <c r="V690" s="119"/>
      <c r="W690" s="119"/>
      <c r="X690" s="119"/>
      <c r="Y690" s="119"/>
      <c r="Z690" s="119">
        <v>0.35</v>
      </c>
      <c r="AA690" s="119">
        <v>0.03</v>
      </c>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19"/>
      <c r="BE690" s="119"/>
      <c r="BF690" s="119"/>
      <c r="BG690" s="119"/>
      <c r="BH690" s="119"/>
      <c r="BI690" s="119"/>
      <c r="BJ690" s="78">
        <f t="shared" si="89"/>
        <v>0</v>
      </c>
      <c r="BK690" s="84"/>
      <c r="BL690" s="44"/>
      <c r="BM690" s="79"/>
      <c r="BN690" s="75"/>
      <c r="BO690" s="75"/>
    </row>
    <row r="691" spans="1:67" s="4" customFormat="1" ht="31.2" x14ac:dyDescent="0.3">
      <c r="A691" s="48">
        <v>11</v>
      </c>
      <c r="B691" s="42" t="s">
        <v>722</v>
      </c>
      <c r="C691" s="43" t="s">
        <v>48</v>
      </c>
      <c r="D691" s="41">
        <v>0.47000000000000003</v>
      </c>
      <c r="E691" s="41">
        <v>0.28000000000000003</v>
      </c>
      <c r="F691" s="41">
        <v>0.19</v>
      </c>
      <c r="G691" s="41">
        <v>0.14000000000000001</v>
      </c>
      <c r="H691" s="41"/>
      <c r="I691" s="41"/>
      <c r="J691" s="41">
        <v>0.05</v>
      </c>
      <c r="K691" s="42" t="s">
        <v>859</v>
      </c>
      <c r="L691" s="42" t="s">
        <v>688</v>
      </c>
      <c r="M691" s="43">
        <v>22</v>
      </c>
      <c r="N691" s="210">
        <v>546</v>
      </c>
      <c r="O691" s="43"/>
      <c r="P691" s="97"/>
      <c r="Q691" s="97"/>
      <c r="R691" s="97"/>
      <c r="S691" s="97"/>
      <c r="T691" s="97"/>
      <c r="U691" s="97"/>
      <c r="V691" s="97"/>
      <c r="W691" s="97"/>
      <c r="X691" s="97"/>
      <c r="Y691" s="97"/>
      <c r="Z691" s="97"/>
      <c r="AA691" s="97"/>
      <c r="AB691" s="97"/>
      <c r="AC691" s="97"/>
      <c r="AD691" s="97"/>
      <c r="AE691" s="97"/>
      <c r="AF691" s="97"/>
      <c r="AG691" s="97"/>
      <c r="AH691" s="97"/>
      <c r="AI691" s="97"/>
      <c r="AJ691" s="97"/>
      <c r="AK691" s="97"/>
      <c r="AL691" s="97"/>
      <c r="AM691" s="97"/>
      <c r="AN691" s="97"/>
      <c r="AO691" s="97"/>
      <c r="AP691" s="97"/>
      <c r="AQ691" s="97"/>
      <c r="AR691" s="97"/>
      <c r="AS691" s="97"/>
      <c r="AT691" s="97"/>
      <c r="AU691" s="97"/>
      <c r="AV691" s="97"/>
      <c r="AW691" s="97"/>
      <c r="AX691" s="97"/>
      <c r="AY691" s="97"/>
      <c r="AZ691" s="97"/>
      <c r="BA691" s="97"/>
      <c r="BB691" s="97"/>
      <c r="BC691" s="97"/>
      <c r="BD691" s="97"/>
      <c r="BE691" s="100">
        <v>0.05</v>
      </c>
      <c r="BF691" s="97"/>
      <c r="BG691" s="97"/>
      <c r="BH691" s="97"/>
      <c r="BI691" s="97"/>
      <c r="BJ691" s="78">
        <f t="shared" si="89"/>
        <v>0</v>
      </c>
      <c r="BK691" s="97"/>
      <c r="BL691" s="97">
        <v>40</v>
      </c>
      <c r="BM691" s="79">
        <f t="shared" si="84"/>
        <v>0</v>
      </c>
      <c r="BN691" s="75"/>
      <c r="BO691" s="75"/>
    </row>
    <row r="692" spans="1:67" s="4" customFormat="1" ht="31.2" x14ac:dyDescent="0.3">
      <c r="A692" s="48">
        <v>12</v>
      </c>
      <c r="B692" s="42" t="s">
        <v>738</v>
      </c>
      <c r="C692" s="43" t="s">
        <v>48</v>
      </c>
      <c r="D692" s="41">
        <v>0.33</v>
      </c>
      <c r="E692" s="41"/>
      <c r="F692" s="41">
        <v>0.33</v>
      </c>
      <c r="G692" s="41"/>
      <c r="H692" s="41"/>
      <c r="I692" s="41"/>
      <c r="J692" s="41">
        <v>0.33</v>
      </c>
      <c r="K692" s="42" t="s">
        <v>1046</v>
      </c>
      <c r="L692" s="42" t="s">
        <v>688</v>
      </c>
      <c r="M692" s="43">
        <v>61</v>
      </c>
      <c r="N692" s="210">
        <v>547</v>
      </c>
      <c r="O692" s="43"/>
      <c r="P692" s="97"/>
      <c r="Q692" s="97"/>
      <c r="R692" s="97"/>
      <c r="S692" s="97"/>
      <c r="T692" s="97"/>
      <c r="U692" s="97"/>
      <c r="V692" s="97"/>
      <c r="W692" s="97"/>
      <c r="X692" s="97"/>
      <c r="Y692" s="97"/>
      <c r="Z692" s="97">
        <v>0.33</v>
      </c>
      <c r="AA692" s="97"/>
      <c r="AB692" s="97"/>
      <c r="AC692" s="97"/>
      <c r="AD692" s="97"/>
      <c r="AE692" s="97"/>
      <c r="AF692" s="97"/>
      <c r="AG692" s="97"/>
      <c r="AH692" s="97"/>
      <c r="AI692" s="97"/>
      <c r="AJ692" s="97"/>
      <c r="AK692" s="97"/>
      <c r="AL692" s="97"/>
      <c r="AM692" s="97"/>
      <c r="AN692" s="97"/>
      <c r="AO692" s="97"/>
      <c r="AP692" s="97"/>
      <c r="AQ692" s="97"/>
      <c r="AR692" s="97"/>
      <c r="AS692" s="97"/>
      <c r="AT692" s="97"/>
      <c r="AU692" s="97"/>
      <c r="AV692" s="97"/>
      <c r="AW692" s="97"/>
      <c r="AX692" s="97"/>
      <c r="AY692" s="97"/>
      <c r="AZ692" s="97"/>
      <c r="BA692" s="97"/>
      <c r="BB692" s="97"/>
      <c r="BC692" s="97"/>
      <c r="BD692" s="97"/>
      <c r="BE692" s="97"/>
      <c r="BF692" s="97"/>
      <c r="BG692" s="97"/>
      <c r="BH692" s="97"/>
      <c r="BI692" s="97"/>
      <c r="BJ692" s="78">
        <f t="shared" si="89"/>
        <v>0</v>
      </c>
      <c r="BK692" s="97" t="s">
        <v>739</v>
      </c>
      <c r="BL692" s="97">
        <v>40</v>
      </c>
      <c r="BM692" s="79">
        <f t="shared" si="84"/>
        <v>0</v>
      </c>
      <c r="BN692" s="75"/>
      <c r="BO692" s="75"/>
    </row>
    <row r="693" spans="1:67" s="4" customFormat="1" ht="39" customHeight="1" x14ac:dyDescent="0.3">
      <c r="A693" s="48">
        <v>13</v>
      </c>
      <c r="B693" s="113" t="s">
        <v>647</v>
      </c>
      <c r="C693" s="43" t="s">
        <v>48</v>
      </c>
      <c r="D693" s="41">
        <v>4.2</v>
      </c>
      <c r="E693" s="41"/>
      <c r="F693" s="41">
        <v>4.2</v>
      </c>
      <c r="G693" s="41"/>
      <c r="H693" s="41"/>
      <c r="I693" s="41"/>
      <c r="J693" s="41">
        <v>4.2</v>
      </c>
      <c r="K693" s="114" t="s">
        <v>1315</v>
      </c>
      <c r="L693" s="114" t="s">
        <v>1316</v>
      </c>
      <c r="M693" s="43"/>
      <c r="N693" s="210">
        <v>806</v>
      </c>
      <c r="O693" s="43"/>
      <c r="P693" s="97"/>
      <c r="Q693" s="97"/>
      <c r="R693" s="97"/>
      <c r="S693" s="97"/>
      <c r="T693" s="97"/>
      <c r="U693" s="97"/>
      <c r="V693" s="97"/>
      <c r="W693" s="97"/>
      <c r="X693" s="97"/>
      <c r="Y693" s="97"/>
      <c r="Z693" s="97"/>
      <c r="AA693" s="97"/>
      <c r="AB693" s="97">
        <v>3.6</v>
      </c>
      <c r="AC693" s="97"/>
      <c r="AD693" s="97"/>
      <c r="AE693" s="97"/>
      <c r="AF693" s="97"/>
      <c r="AG693" s="97"/>
      <c r="AH693" s="97"/>
      <c r="AI693" s="97"/>
      <c r="AJ693" s="97"/>
      <c r="AK693" s="97"/>
      <c r="AL693" s="97"/>
      <c r="AM693" s="97"/>
      <c r="AN693" s="97"/>
      <c r="AO693" s="97"/>
      <c r="AP693" s="97"/>
      <c r="AQ693" s="97">
        <v>0.3</v>
      </c>
      <c r="AR693" s="97">
        <v>0.1</v>
      </c>
      <c r="AS693" s="97"/>
      <c r="AT693" s="97"/>
      <c r="AU693" s="97"/>
      <c r="AV693" s="97"/>
      <c r="AW693" s="97"/>
      <c r="AX693" s="97"/>
      <c r="AY693" s="97"/>
      <c r="AZ693" s="97"/>
      <c r="BA693" s="97"/>
      <c r="BB693" s="97"/>
      <c r="BC693" s="97"/>
      <c r="BD693" s="97"/>
      <c r="BE693" s="97">
        <v>0.2</v>
      </c>
      <c r="BF693" s="97"/>
      <c r="BG693" s="97"/>
      <c r="BH693" s="97"/>
      <c r="BI693" s="97"/>
      <c r="BJ693" s="78">
        <f t="shared" si="89"/>
        <v>0</v>
      </c>
      <c r="BK693" s="97"/>
      <c r="BL693" s="97"/>
      <c r="BM693" s="79"/>
      <c r="BN693" s="75"/>
      <c r="BO693" s="75"/>
    </row>
    <row r="694" spans="1:67" x14ac:dyDescent="0.3">
      <c r="A694" s="76" t="s">
        <v>648</v>
      </c>
      <c r="B694" s="77" t="s">
        <v>649</v>
      </c>
      <c r="C694" s="80" t="s">
        <v>29</v>
      </c>
      <c r="D694" s="81">
        <f>SUM(D695,D717:D875,D878:D933)</f>
        <v>1340.5099999999998</v>
      </c>
      <c r="E694" s="81">
        <f t="shared" ref="E694:BI694" si="91">SUM(E695,E717:E875,E878:E933)</f>
        <v>0</v>
      </c>
      <c r="F694" s="81">
        <f t="shared" si="91"/>
        <v>1340.5099999999998</v>
      </c>
      <c r="G694" s="81">
        <f t="shared" si="91"/>
        <v>798.00000000000023</v>
      </c>
      <c r="H694" s="81">
        <f t="shared" si="91"/>
        <v>9.5</v>
      </c>
      <c r="I694" s="81">
        <f t="shared" si="91"/>
        <v>0</v>
      </c>
      <c r="J694" s="81">
        <f t="shared" si="91"/>
        <v>534.51000000000022</v>
      </c>
      <c r="K694" s="81">
        <f t="shared" si="91"/>
        <v>0</v>
      </c>
      <c r="L694" s="81">
        <f t="shared" si="91"/>
        <v>0</v>
      </c>
      <c r="M694" s="81"/>
      <c r="N694" s="81"/>
      <c r="O694" s="81">
        <f t="shared" si="91"/>
        <v>0</v>
      </c>
      <c r="P694" s="81">
        <f t="shared" si="91"/>
        <v>0</v>
      </c>
      <c r="Q694" s="81">
        <f t="shared" si="91"/>
        <v>9.06</v>
      </c>
      <c r="R694" s="81">
        <f t="shared" si="91"/>
        <v>0.44</v>
      </c>
      <c r="S694" s="81">
        <f t="shared" si="91"/>
        <v>0</v>
      </c>
      <c r="T694" s="81">
        <f t="shared" si="91"/>
        <v>0</v>
      </c>
      <c r="U694" s="81">
        <f t="shared" si="91"/>
        <v>0</v>
      </c>
      <c r="V694" s="81">
        <f t="shared" si="91"/>
        <v>0</v>
      </c>
      <c r="W694" s="81">
        <f t="shared" si="91"/>
        <v>0</v>
      </c>
      <c r="X694" s="81">
        <f t="shared" si="91"/>
        <v>46.599999999999994</v>
      </c>
      <c r="Y694" s="81">
        <f t="shared" si="91"/>
        <v>0</v>
      </c>
      <c r="Z694" s="81">
        <f t="shared" si="91"/>
        <v>150.26000000000008</v>
      </c>
      <c r="AA694" s="81">
        <f t="shared" si="91"/>
        <v>97.169999999999973</v>
      </c>
      <c r="AB694" s="81">
        <f t="shared" si="91"/>
        <v>18.61</v>
      </c>
      <c r="AC694" s="81">
        <f t="shared" si="91"/>
        <v>0</v>
      </c>
      <c r="AD694" s="81">
        <f t="shared" si="91"/>
        <v>7.35</v>
      </c>
      <c r="AE694" s="81">
        <f t="shared" si="91"/>
        <v>20.75</v>
      </c>
      <c r="AF694" s="81">
        <f t="shared" si="91"/>
        <v>0</v>
      </c>
      <c r="AG694" s="81">
        <f t="shared" si="91"/>
        <v>1.38</v>
      </c>
      <c r="AH694" s="81">
        <f t="shared" si="91"/>
        <v>0</v>
      </c>
      <c r="AI694" s="81">
        <f t="shared" si="91"/>
        <v>0</v>
      </c>
      <c r="AJ694" s="81">
        <f t="shared" si="91"/>
        <v>0</v>
      </c>
      <c r="AK694" s="81">
        <f t="shared" si="91"/>
        <v>0</v>
      </c>
      <c r="AL694" s="81">
        <f t="shared" si="91"/>
        <v>0</v>
      </c>
      <c r="AM694" s="81">
        <f t="shared" si="91"/>
        <v>0.26</v>
      </c>
      <c r="AN694" s="81">
        <f t="shared" si="91"/>
        <v>0</v>
      </c>
      <c r="AO694" s="81">
        <f t="shared" si="91"/>
        <v>8.7399999999999984</v>
      </c>
      <c r="AP694" s="81">
        <f t="shared" si="91"/>
        <v>0</v>
      </c>
      <c r="AQ694" s="81">
        <f t="shared" si="91"/>
        <v>62.38</v>
      </c>
      <c r="AR694" s="81">
        <f t="shared" si="91"/>
        <v>22.509999999999998</v>
      </c>
      <c r="AS694" s="81">
        <f t="shared" si="91"/>
        <v>0</v>
      </c>
      <c r="AT694" s="81">
        <f t="shared" si="91"/>
        <v>0</v>
      </c>
      <c r="AU694" s="81">
        <f t="shared" si="91"/>
        <v>0</v>
      </c>
      <c r="AV694" s="81">
        <f t="shared" si="91"/>
        <v>0</v>
      </c>
      <c r="AW694" s="81">
        <f t="shared" si="91"/>
        <v>2.1300000000000003</v>
      </c>
      <c r="AX694" s="81">
        <f t="shared" si="91"/>
        <v>0</v>
      </c>
      <c r="AY694" s="81">
        <f t="shared" si="91"/>
        <v>0</v>
      </c>
      <c r="AZ694" s="81">
        <f t="shared" si="91"/>
        <v>0</v>
      </c>
      <c r="BA694" s="81">
        <f t="shared" si="91"/>
        <v>1</v>
      </c>
      <c r="BB694" s="81">
        <f t="shared" si="91"/>
        <v>0.49</v>
      </c>
      <c r="BC694" s="81">
        <f t="shared" si="91"/>
        <v>5.16</v>
      </c>
      <c r="BD694" s="81">
        <f t="shared" si="91"/>
        <v>4.22</v>
      </c>
      <c r="BE694" s="81">
        <f t="shared" si="91"/>
        <v>83.469999999999942</v>
      </c>
      <c r="BF694" s="81">
        <f t="shared" si="91"/>
        <v>0.22999999999999998</v>
      </c>
      <c r="BG694" s="81">
        <f t="shared" si="91"/>
        <v>1.8</v>
      </c>
      <c r="BH694" s="81">
        <f t="shared" si="91"/>
        <v>0</v>
      </c>
      <c r="BI694" s="81">
        <f t="shared" si="91"/>
        <v>0</v>
      </c>
      <c r="BJ694" s="78">
        <f t="shared" si="89"/>
        <v>0</v>
      </c>
      <c r="BK694" s="84"/>
      <c r="BL694" s="44">
        <v>41</v>
      </c>
      <c r="BM694" s="79">
        <f t="shared" si="84"/>
        <v>0</v>
      </c>
      <c r="BN694" s="75"/>
      <c r="BO694" s="75"/>
    </row>
    <row r="695" spans="1:67" ht="31.2" x14ac:dyDescent="0.3">
      <c r="A695" s="219">
        <v>1</v>
      </c>
      <c r="B695" s="50" t="s">
        <v>678</v>
      </c>
      <c r="C695" s="41" t="s">
        <v>29</v>
      </c>
      <c r="D695" s="41">
        <v>75</v>
      </c>
      <c r="E695" s="41"/>
      <c r="F695" s="41">
        <v>75</v>
      </c>
      <c r="G695" s="41">
        <v>0</v>
      </c>
      <c r="H695" s="41"/>
      <c r="I695" s="41"/>
      <c r="J695" s="39">
        <v>75</v>
      </c>
      <c r="K695" s="50" t="s">
        <v>1178</v>
      </c>
      <c r="L695" s="50" t="s">
        <v>677</v>
      </c>
      <c r="M695" s="110"/>
      <c r="N695" s="211">
        <v>548</v>
      </c>
      <c r="O695" s="110"/>
      <c r="P695" s="39"/>
      <c r="Q695" s="39"/>
      <c r="R695" s="39"/>
      <c r="S695" s="39"/>
      <c r="T695" s="39"/>
      <c r="U695" s="39"/>
      <c r="V695" s="39"/>
      <c r="W695" s="39"/>
      <c r="X695" s="39"/>
      <c r="Y695" s="39"/>
      <c r="Z695" s="39"/>
      <c r="AA695" s="39">
        <v>75</v>
      </c>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c r="BC695" s="39"/>
      <c r="BD695" s="39"/>
      <c r="BE695" s="39"/>
      <c r="BF695" s="39"/>
      <c r="BG695" s="39"/>
      <c r="BH695" s="39"/>
      <c r="BI695" s="39"/>
      <c r="BJ695" s="78">
        <f t="shared" si="89"/>
        <v>0</v>
      </c>
      <c r="BK695" s="39"/>
      <c r="BL695" s="44">
        <v>41</v>
      </c>
      <c r="BM695" s="79">
        <f t="shared" si="84"/>
        <v>0</v>
      </c>
      <c r="BN695" s="75"/>
      <c r="BO695" s="75"/>
    </row>
    <row r="696" spans="1:67" s="4" customFormat="1" ht="31.2" x14ac:dyDescent="0.3">
      <c r="A696" s="220"/>
      <c r="B696" s="50" t="s">
        <v>1166</v>
      </c>
      <c r="C696" s="41" t="s">
        <v>29</v>
      </c>
      <c r="D696" s="41">
        <v>3</v>
      </c>
      <c r="E696" s="41"/>
      <c r="F696" s="41">
        <v>3</v>
      </c>
      <c r="G696" s="41"/>
      <c r="H696" s="41"/>
      <c r="I696" s="41"/>
      <c r="J696" s="39">
        <v>3</v>
      </c>
      <c r="K696" s="50"/>
      <c r="L696" s="50" t="s">
        <v>102</v>
      </c>
      <c r="M696" s="110"/>
      <c r="N696" s="110"/>
      <c r="O696" s="110"/>
      <c r="P696" s="39"/>
      <c r="Q696" s="39"/>
      <c r="R696" s="39"/>
      <c r="S696" s="39"/>
      <c r="T696" s="39"/>
      <c r="U696" s="39"/>
      <c r="V696" s="39"/>
      <c r="W696" s="39"/>
      <c r="X696" s="39"/>
      <c r="Y696" s="39"/>
      <c r="Z696" s="39"/>
      <c r="AA696" s="39">
        <v>3</v>
      </c>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c r="BC696" s="39"/>
      <c r="BD696" s="39"/>
      <c r="BE696" s="39"/>
      <c r="BF696" s="39"/>
      <c r="BG696" s="39"/>
      <c r="BH696" s="39"/>
      <c r="BI696" s="39"/>
      <c r="BJ696" s="78">
        <f t="shared" si="89"/>
        <v>0</v>
      </c>
      <c r="BK696" s="39"/>
      <c r="BL696" s="44"/>
      <c r="BM696" s="79">
        <f t="shared" si="84"/>
        <v>0</v>
      </c>
      <c r="BN696" s="75"/>
      <c r="BO696" s="75"/>
    </row>
    <row r="697" spans="1:67" s="4" customFormat="1" ht="31.2" x14ac:dyDescent="0.3">
      <c r="A697" s="220"/>
      <c r="B697" s="50" t="s">
        <v>1165</v>
      </c>
      <c r="C697" s="41" t="s">
        <v>29</v>
      </c>
      <c r="D697" s="41">
        <v>3</v>
      </c>
      <c r="E697" s="41"/>
      <c r="F697" s="41">
        <v>3</v>
      </c>
      <c r="G697" s="41"/>
      <c r="H697" s="41"/>
      <c r="I697" s="41"/>
      <c r="J697" s="39">
        <v>3</v>
      </c>
      <c r="K697" s="50"/>
      <c r="L697" s="54" t="s">
        <v>233</v>
      </c>
      <c r="M697" s="110"/>
      <c r="N697" s="110"/>
      <c r="O697" s="110"/>
      <c r="P697" s="39"/>
      <c r="Q697" s="39"/>
      <c r="R697" s="39"/>
      <c r="S697" s="39"/>
      <c r="T697" s="39"/>
      <c r="U697" s="39"/>
      <c r="V697" s="39"/>
      <c r="W697" s="39"/>
      <c r="X697" s="39"/>
      <c r="Y697" s="39"/>
      <c r="Z697" s="39"/>
      <c r="AA697" s="39">
        <v>3</v>
      </c>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c r="BC697" s="39"/>
      <c r="BD697" s="39"/>
      <c r="BE697" s="39"/>
      <c r="BF697" s="39"/>
      <c r="BG697" s="39"/>
      <c r="BH697" s="39"/>
      <c r="BI697" s="39"/>
      <c r="BJ697" s="78">
        <f t="shared" si="89"/>
        <v>0</v>
      </c>
      <c r="BK697" s="39"/>
      <c r="BL697" s="44"/>
      <c r="BM697" s="79">
        <f>J697-SUM(V697:BH697)</f>
        <v>0</v>
      </c>
      <c r="BN697" s="75"/>
      <c r="BO697" s="75"/>
    </row>
    <row r="698" spans="1:67" s="4" customFormat="1" ht="31.2" x14ac:dyDescent="0.3">
      <c r="A698" s="220"/>
      <c r="B698" s="50" t="s">
        <v>1164</v>
      </c>
      <c r="C698" s="41" t="s">
        <v>29</v>
      </c>
      <c r="D698" s="41">
        <v>3</v>
      </c>
      <c r="E698" s="41"/>
      <c r="F698" s="41">
        <v>3</v>
      </c>
      <c r="G698" s="41"/>
      <c r="H698" s="41"/>
      <c r="I698" s="41"/>
      <c r="J698" s="39">
        <v>3</v>
      </c>
      <c r="K698" s="50"/>
      <c r="L698" s="54" t="s">
        <v>247</v>
      </c>
      <c r="M698" s="110"/>
      <c r="N698" s="110"/>
      <c r="O698" s="110"/>
      <c r="P698" s="39"/>
      <c r="Q698" s="39"/>
      <c r="R698" s="39"/>
      <c r="S698" s="39"/>
      <c r="T698" s="39"/>
      <c r="U698" s="39"/>
      <c r="V698" s="39"/>
      <c r="W698" s="39"/>
      <c r="X698" s="39"/>
      <c r="Y698" s="39"/>
      <c r="Z698" s="39"/>
      <c r="AA698" s="39">
        <v>3</v>
      </c>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c r="BC698" s="39"/>
      <c r="BD698" s="39"/>
      <c r="BE698" s="39"/>
      <c r="BF698" s="39"/>
      <c r="BG698" s="39"/>
      <c r="BH698" s="39"/>
      <c r="BI698" s="39"/>
      <c r="BJ698" s="78">
        <f t="shared" si="89"/>
        <v>0</v>
      </c>
      <c r="BK698" s="39"/>
      <c r="BL698" s="44"/>
      <c r="BM698" s="79">
        <f t="shared" ref="BM698:BM761" si="92">J698-SUM(V698:BH698)</f>
        <v>0</v>
      </c>
      <c r="BN698" s="75"/>
      <c r="BO698" s="75"/>
    </row>
    <row r="699" spans="1:67" s="4" customFormat="1" ht="31.2" x14ac:dyDescent="0.3">
      <c r="A699" s="220"/>
      <c r="B699" s="50" t="s">
        <v>1163</v>
      </c>
      <c r="C699" s="41" t="s">
        <v>29</v>
      </c>
      <c r="D699" s="41">
        <v>3</v>
      </c>
      <c r="E699" s="41"/>
      <c r="F699" s="41">
        <v>3</v>
      </c>
      <c r="G699" s="41"/>
      <c r="H699" s="41"/>
      <c r="I699" s="41"/>
      <c r="J699" s="39">
        <v>3</v>
      </c>
      <c r="K699" s="50"/>
      <c r="L699" s="54" t="s">
        <v>58</v>
      </c>
      <c r="M699" s="110"/>
      <c r="N699" s="110"/>
      <c r="O699" s="110"/>
      <c r="P699" s="39"/>
      <c r="Q699" s="39"/>
      <c r="R699" s="39"/>
      <c r="S699" s="39"/>
      <c r="T699" s="39"/>
      <c r="U699" s="39"/>
      <c r="V699" s="39"/>
      <c r="W699" s="39"/>
      <c r="X699" s="39"/>
      <c r="Y699" s="39"/>
      <c r="Z699" s="39"/>
      <c r="AA699" s="39">
        <v>3</v>
      </c>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c r="BC699" s="39"/>
      <c r="BD699" s="39"/>
      <c r="BE699" s="39"/>
      <c r="BF699" s="39"/>
      <c r="BG699" s="39"/>
      <c r="BH699" s="39"/>
      <c r="BI699" s="39"/>
      <c r="BJ699" s="78">
        <f t="shared" si="89"/>
        <v>0</v>
      </c>
      <c r="BK699" s="39"/>
      <c r="BL699" s="44"/>
      <c r="BM699" s="79">
        <f t="shared" si="92"/>
        <v>0</v>
      </c>
      <c r="BN699" s="75"/>
      <c r="BO699" s="75"/>
    </row>
    <row r="700" spans="1:67" s="4" customFormat="1" ht="31.2" x14ac:dyDescent="0.3">
      <c r="A700" s="220"/>
      <c r="B700" s="50" t="s">
        <v>1162</v>
      </c>
      <c r="C700" s="41" t="s">
        <v>29</v>
      </c>
      <c r="D700" s="41">
        <v>4</v>
      </c>
      <c r="E700" s="41"/>
      <c r="F700" s="41">
        <v>4</v>
      </c>
      <c r="G700" s="41"/>
      <c r="H700" s="41"/>
      <c r="I700" s="41"/>
      <c r="J700" s="39">
        <v>4</v>
      </c>
      <c r="K700" s="50"/>
      <c r="L700" s="54" t="s">
        <v>294</v>
      </c>
      <c r="M700" s="110"/>
      <c r="N700" s="110"/>
      <c r="O700" s="110"/>
      <c r="P700" s="39"/>
      <c r="Q700" s="39"/>
      <c r="R700" s="39"/>
      <c r="S700" s="39"/>
      <c r="T700" s="39"/>
      <c r="U700" s="39"/>
      <c r="V700" s="39"/>
      <c r="W700" s="39"/>
      <c r="X700" s="39"/>
      <c r="Y700" s="39"/>
      <c r="Z700" s="39"/>
      <c r="AA700" s="39">
        <v>4</v>
      </c>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c r="BC700" s="39"/>
      <c r="BD700" s="39"/>
      <c r="BE700" s="39"/>
      <c r="BF700" s="39"/>
      <c r="BG700" s="39"/>
      <c r="BH700" s="39"/>
      <c r="BI700" s="39"/>
      <c r="BJ700" s="78">
        <f t="shared" si="89"/>
        <v>0</v>
      </c>
      <c r="BK700" s="39"/>
      <c r="BL700" s="44"/>
      <c r="BM700" s="79">
        <f t="shared" si="92"/>
        <v>0</v>
      </c>
      <c r="BN700" s="75"/>
      <c r="BO700" s="75"/>
    </row>
    <row r="701" spans="1:67" s="4" customFormat="1" ht="31.2" x14ac:dyDescent="0.3">
      <c r="A701" s="220"/>
      <c r="B701" s="50" t="s">
        <v>1157</v>
      </c>
      <c r="C701" s="41" t="s">
        <v>29</v>
      </c>
      <c r="D701" s="41">
        <v>4</v>
      </c>
      <c r="E701" s="41"/>
      <c r="F701" s="41">
        <v>4</v>
      </c>
      <c r="G701" s="41"/>
      <c r="H701" s="41"/>
      <c r="I701" s="41"/>
      <c r="J701" s="39">
        <v>4</v>
      </c>
      <c r="K701" s="50"/>
      <c r="L701" s="54" t="s">
        <v>81</v>
      </c>
      <c r="M701" s="110"/>
      <c r="N701" s="110"/>
      <c r="O701" s="110"/>
      <c r="P701" s="39"/>
      <c r="Q701" s="39"/>
      <c r="R701" s="39"/>
      <c r="S701" s="39"/>
      <c r="T701" s="39"/>
      <c r="U701" s="39"/>
      <c r="V701" s="39"/>
      <c r="W701" s="39"/>
      <c r="X701" s="39"/>
      <c r="Y701" s="39"/>
      <c r="Z701" s="39"/>
      <c r="AA701" s="39">
        <v>4</v>
      </c>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39"/>
      <c r="BD701" s="39"/>
      <c r="BE701" s="39"/>
      <c r="BF701" s="39"/>
      <c r="BG701" s="39"/>
      <c r="BH701" s="39"/>
      <c r="BI701" s="39"/>
      <c r="BJ701" s="78">
        <f t="shared" si="89"/>
        <v>0</v>
      </c>
      <c r="BK701" s="39"/>
      <c r="BL701" s="44"/>
      <c r="BM701" s="79">
        <f t="shared" si="92"/>
        <v>0</v>
      </c>
      <c r="BN701" s="75"/>
      <c r="BO701" s="75"/>
    </row>
    <row r="702" spans="1:67" s="4" customFormat="1" ht="31.2" x14ac:dyDescent="0.3">
      <c r="A702" s="220"/>
      <c r="B702" s="50" t="s">
        <v>1161</v>
      </c>
      <c r="C702" s="41" t="s">
        <v>29</v>
      </c>
      <c r="D702" s="41">
        <v>3</v>
      </c>
      <c r="E702" s="41"/>
      <c r="F702" s="41">
        <v>3</v>
      </c>
      <c r="G702" s="41"/>
      <c r="H702" s="41"/>
      <c r="I702" s="41"/>
      <c r="J702" s="39">
        <v>3</v>
      </c>
      <c r="K702" s="50"/>
      <c r="L702" s="54" t="s">
        <v>261</v>
      </c>
      <c r="M702" s="110"/>
      <c r="N702" s="110"/>
      <c r="O702" s="110"/>
      <c r="P702" s="39"/>
      <c r="Q702" s="39"/>
      <c r="R702" s="39"/>
      <c r="S702" s="39"/>
      <c r="T702" s="39"/>
      <c r="U702" s="39"/>
      <c r="V702" s="39"/>
      <c r="W702" s="39"/>
      <c r="X702" s="39"/>
      <c r="Y702" s="39"/>
      <c r="Z702" s="39"/>
      <c r="AA702" s="39">
        <v>3</v>
      </c>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c r="BC702" s="39"/>
      <c r="BD702" s="39"/>
      <c r="BE702" s="39"/>
      <c r="BF702" s="39"/>
      <c r="BG702" s="39"/>
      <c r="BH702" s="39"/>
      <c r="BI702" s="39"/>
      <c r="BJ702" s="78">
        <f t="shared" si="89"/>
        <v>0</v>
      </c>
      <c r="BK702" s="39"/>
      <c r="BL702" s="44"/>
      <c r="BM702" s="79">
        <f t="shared" si="92"/>
        <v>0</v>
      </c>
      <c r="BN702" s="75"/>
      <c r="BO702" s="75"/>
    </row>
    <row r="703" spans="1:67" s="4" customFormat="1" ht="31.2" x14ac:dyDescent="0.3">
      <c r="A703" s="220"/>
      <c r="B703" s="50" t="s">
        <v>1160</v>
      </c>
      <c r="C703" s="41" t="s">
        <v>29</v>
      </c>
      <c r="D703" s="41">
        <v>3</v>
      </c>
      <c r="E703" s="41"/>
      <c r="F703" s="41">
        <v>3</v>
      </c>
      <c r="G703" s="41"/>
      <c r="H703" s="41"/>
      <c r="I703" s="41"/>
      <c r="J703" s="39">
        <v>3</v>
      </c>
      <c r="K703" s="50"/>
      <c r="L703" s="193" t="s">
        <v>125</v>
      </c>
      <c r="M703" s="110"/>
      <c r="N703" s="110"/>
      <c r="O703" s="110"/>
      <c r="P703" s="39"/>
      <c r="Q703" s="39"/>
      <c r="R703" s="39"/>
      <c r="S703" s="39"/>
      <c r="T703" s="39"/>
      <c r="U703" s="39"/>
      <c r="V703" s="39"/>
      <c r="W703" s="39"/>
      <c r="X703" s="39"/>
      <c r="Y703" s="39"/>
      <c r="Z703" s="39"/>
      <c r="AA703" s="39">
        <v>3</v>
      </c>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c r="BC703" s="39"/>
      <c r="BD703" s="39"/>
      <c r="BE703" s="39"/>
      <c r="BF703" s="39"/>
      <c r="BG703" s="39"/>
      <c r="BH703" s="39"/>
      <c r="BI703" s="39"/>
      <c r="BJ703" s="78">
        <f t="shared" si="89"/>
        <v>0</v>
      </c>
      <c r="BK703" s="39"/>
      <c r="BL703" s="44"/>
      <c r="BM703" s="79">
        <f t="shared" si="92"/>
        <v>0</v>
      </c>
      <c r="BN703" s="75"/>
      <c r="BO703" s="75"/>
    </row>
    <row r="704" spans="1:67" s="4" customFormat="1" ht="31.2" x14ac:dyDescent="0.3">
      <c r="A704" s="220"/>
      <c r="B704" s="50" t="s">
        <v>1159</v>
      </c>
      <c r="C704" s="41" t="s">
        <v>29</v>
      </c>
      <c r="D704" s="41">
        <v>6</v>
      </c>
      <c r="E704" s="41"/>
      <c r="F704" s="41">
        <v>6</v>
      </c>
      <c r="G704" s="41"/>
      <c r="H704" s="41"/>
      <c r="I704" s="41"/>
      <c r="J704" s="39">
        <v>6</v>
      </c>
      <c r="K704" s="50"/>
      <c r="L704" s="129" t="s">
        <v>347</v>
      </c>
      <c r="M704" s="110"/>
      <c r="N704" s="110"/>
      <c r="O704" s="110"/>
      <c r="P704" s="39"/>
      <c r="Q704" s="39"/>
      <c r="R704" s="39"/>
      <c r="S704" s="39"/>
      <c r="T704" s="39"/>
      <c r="U704" s="39"/>
      <c r="V704" s="39"/>
      <c r="W704" s="39"/>
      <c r="X704" s="39"/>
      <c r="Y704" s="39"/>
      <c r="Z704" s="39"/>
      <c r="AA704" s="39">
        <v>6</v>
      </c>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c r="BC704" s="39"/>
      <c r="BD704" s="39"/>
      <c r="BE704" s="39"/>
      <c r="BF704" s="39"/>
      <c r="BG704" s="39"/>
      <c r="BH704" s="39"/>
      <c r="BI704" s="39"/>
      <c r="BJ704" s="78">
        <f t="shared" si="89"/>
        <v>0</v>
      </c>
      <c r="BK704" s="39"/>
      <c r="BL704" s="44"/>
      <c r="BM704" s="79">
        <f t="shared" si="92"/>
        <v>0</v>
      </c>
      <c r="BN704" s="75"/>
      <c r="BO704" s="75"/>
    </row>
    <row r="705" spans="1:67" s="4" customFormat="1" ht="31.2" x14ac:dyDescent="0.3">
      <c r="A705" s="220"/>
      <c r="B705" s="50" t="s">
        <v>1158</v>
      </c>
      <c r="C705" s="41" t="s">
        <v>29</v>
      </c>
      <c r="D705" s="41">
        <v>3</v>
      </c>
      <c r="E705" s="41"/>
      <c r="F705" s="41">
        <v>3</v>
      </c>
      <c r="G705" s="41"/>
      <c r="H705" s="41"/>
      <c r="I705" s="41"/>
      <c r="J705" s="39">
        <v>3</v>
      </c>
      <c r="K705" s="50"/>
      <c r="L705" s="50" t="s">
        <v>154</v>
      </c>
      <c r="M705" s="110"/>
      <c r="N705" s="110"/>
      <c r="O705" s="110"/>
      <c r="P705" s="39"/>
      <c r="Q705" s="39"/>
      <c r="R705" s="39"/>
      <c r="S705" s="39"/>
      <c r="T705" s="39"/>
      <c r="U705" s="39"/>
      <c r="V705" s="39"/>
      <c r="W705" s="39"/>
      <c r="X705" s="39"/>
      <c r="Y705" s="39"/>
      <c r="Z705" s="39"/>
      <c r="AA705" s="39">
        <v>3</v>
      </c>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c r="BC705" s="39"/>
      <c r="BD705" s="39"/>
      <c r="BE705" s="39"/>
      <c r="BF705" s="39"/>
      <c r="BG705" s="39"/>
      <c r="BH705" s="39"/>
      <c r="BI705" s="39"/>
      <c r="BJ705" s="78">
        <f t="shared" si="89"/>
        <v>0</v>
      </c>
      <c r="BK705" s="39"/>
      <c r="BL705" s="44"/>
      <c r="BM705" s="79">
        <f t="shared" si="92"/>
        <v>0</v>
      </c>
      <c r="BN705" s="75"/>
      <c r="BO705" s="75"/>
    </row>
    <row r="706" spans="1:67" s="4" customFormat="1" ht="31.2" x14ac:dyDescent="0.3">
      <c r="A706" s="220"/>
      <c r="B706" s="50" t="s">
        <v>1167</v>
      </c>
      <c r="C706" s="41" t="s">
        <v>29</v>
      </c>
      <c r="D706" s="41">
        <v>3</v>
      </c>
      <c r="E706" s="41"/>
      <c r="F706" s="41">
        <v>3</v>
      </c>
      <c r="G706" s="41"/>
      <c r="H706" s="41"/>
      <c r="I706" s="41"/>
      <c r="J706" s="39">
        <v>3</v>
      </c>
      <c r="K706" s="50"/>
      <c r="L706" s="54" t="s">
        <v>688</v>
      </c>
      <c r="M706" s="110"/>
      <c r="N706" s="110"/>
      <c r="O706" s="110"/>
      <c r="P706" s="39"/>
      <c r="Q706" s="39"/>
      <c r="R706" s="39"/>
      <c r="S706" s="39"/>
      <c r="T706" s="39"/>
      <c r="U706" s="39"/>
      <c r="V706" s="39"/>
      <c r="W706" s="39"/>
      <c r="X706" s="39"/>
      <c r="Y706" s="39"/>
      <c r="Z706" s="39"/>
      <c r="AA706" s="39">
        <v>3</v>
      </c>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c r="BC706" s="39"/>
      <c r="BD706" s="39"/>
      <c r="BE706" s="39"/>
      <c r="BF706" s="39"/>
      <c r="BG706" s="39"/>
      <c r="BH706" s="39"/>
      <c r="BI706" s="39"/>
      <c r="BJ706" s="78">
        <f t="shared" si="89"/>
        <v>0</v>
      </c>
      <c r="BK706" s="39"/>
      <c r="BL706" s="44"/>
      <c r="BM706" s="79">
        <f t="shared" si="92"/>
        <v>0</v>
      </c>
      <c r="BN706" s="75"/>
      <c r="BO706" s="75"/>
    </row>
    <row r="707" spans="1:67" s="4" customFormat="1" ht="31.2" x14ac:dyDescent="0.3">
      <c r="A707" s="220"/>
      <c r="B707" s="50" t="s">
        <v>1168</v>
      </c>
      <c r="C707" s="41" t="s">
        <v>29</v>
      </c>
      <c r="D707" s="41">
        <v>3</v>
      </c>
      <c r="E707" s="41"/>
      <c r="F707" s="41">
        <v>3</v>
      </c>
      <c r="G707" s="41"/>
      <c r="H707" s="41"/>
      <c r="I707" s="41"/>
      <c r="J707" s="39">
        <v>3</v>
      </c>
      <c r="K707" s="50"/>
      <c r="L707" s="54" t="s">
        <v>364</v>
      </c>
      <c r="M707" s="110"/>
      <c r="N707" s="110"/>
      <c r="O707" s="110"/>
      <c r="P707" s="39"/>
      <c r="Q707" s="39"/>
      <c r="R707" s="39"/>
      <c r="S707" s="39"/>
      <c r="T707" s="39"/>
      <c r="U707" s="39"/>
      <c r="V707" s="39"/>
      <c r="W707" s="39"/>
      <c r="X707" s="39"/>
      <c r="Y707" s="39"/>
      <c r="Z707" s="39"/>
      <c r="AA707" s="39">
        <v>3</v>
      </c>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39"/>
      <c r="BD707" s="39"/>
      <c r="BE707" s="39"/>
      <c r="BF707" s="39"/>
      <c r="BG707" s="39"/>
      <c r="BH707" s="39"/>
      <c r="BI707" s="39"/>
      <c r="BJ707" s="78">
        <f t="shared" si="89"/>
        <v>0</v>
      </c>
      <c r="BK707" s="39"/>
      <c r="BL707" s="44"/>
      <c r="BM707" s="79">
        <f t="shared" si="92"/>
        <v>0</v>
      </c>
      <c r="BN707" s="75"/>
      <c r="BO707" s="75"/>
    </row>
    <row r="708" spans="1:67" s="4" customFormat="1" ht="31.2" x14ac:dyDescent="0.3">
      <c r="A708" s="220"/>
      <c r="B708" s="50" t="s">
        <v>1169</v>
      </c>
      <c r="C708" s="41" t="s">
        <v>29</v>
      </c>
      <c r="D708" s="41">
        <v>3</v>
      </c>
      <c r="E708" s="41"/>
      <c r="F708" s="41">
        <v>3</v>
      </c>
      <c r="G708" s="41"/>
      <c r="H708" s="41"/>
      <c r="I708" s="41"/>
      <c r="J708" s="39">
        <v>3</v>
      </c>
      <c r="K708" s="50"/>
      <c r="L708" s="50" t="s">
        <v>179</v>
      </c>
      <c r="M708" s="110"/>
      <c r="N708" s="110"/>
      <c r="O708" s="110"/>
      <c r="P708" s="39"/>
      <c r="Q708" s="39"/>
      <c r="R708" s="39"/>
      <c r="S708" s="39"/>
      <c r="T708" s="39"/>
      <c r="U708" s="39"/>
      <c r="V708" s="39"/>
      <c r="W708" s="39"/>
      <c r="X708" s="39"/>
      <c r="Y708" s="39"/>
      <c r="Z708" s="39"/>
      <c r="AA708" s="39">
        <v>3</v>
      </c>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c r="BC708" s="39"/>
      <c r="BD708" s="39"/>
      <c r="BE708" s="39"/>
      <c r="BF708" s="39"/>
      <c r="BG708" s="39"/>
      <c r="BH708" s="39"/>
      <c r="BI708" s="39"/>
      <c r="BJ708" s="78">
        <f t="shared" si="89"/>
        <v>0</v>
      </c>
      <c r="BK708" s="39"/>
      <c r="BL708" s="44"/>
      <c r="BM708" s="79">
        <f t="shared" si="92"/>
        <v>0</v>
      </c>
      <c r="BN708" s="75"/>
      <c r="BO708" s="75"/>
    </row>
    <row r="709" spans="1:67" s="4" customFormat="1" ht="31.2" x14ac:dyDescent="0.3">
      <c r="A709" s="220"/>
      <c r="B709" s="50" t="s">
        <v>1170</v>
      </c>
      <c r="C709" s="41" t="s">
        <v>29</v>
      </c>
      <c r="D709" s="41">
        <v>6</v>
      </c>
      <c r="E709" s="41"/>
      <c r="F709" s="41">
        <v>6</v>
      </c>
      <c r="G709" s="41"/>
      <c r="H709" s="41"/>
      <c r="I709" s="41"/>
      <c r="J709" s="39">
        <v>6</v>
      </c>
      <c r="K709" s="50"/>
      <c r="L709" s="124" t="s">
        <v>395</v>
      </c>
      <c r="M709" s="110"/>
      <c r="N709" s="110"/>
      <c r="O709" s="110"/>
      <c r="P709" s="39"/>
      <c r="Q709" s="39"/>
      <c r="R709" s="39"/>
      <c r="S709" s="39"/>
      <c r="T709" s="39"/>
      <c r="U709" s="39"/>
      <c r="V709" s="39"/>
      <c r="W709" s="39"/>
      <c r="X709" s="39"/>
      <c r="Y709" s="39"/>
      <c r="Z709" s="39"/>
      <c r="AA709" s="39">
        <v>6</v>
      </c>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39"/>
      <c r="BD709" s="39"/>
      <c r="BE709" s="39"/>
      <c r="BF709" s="39"/>
      <c r="BG709" s="39"/>
      <c r="BH709" s="39"/>
      <c r="BI709" s="39"/>
      <c r="BJ709" s="78">
        <f t="shared" si="89"/>
        <v>0</v>
      </c>
      <c r="BK709" s="39"/>
      <c r="BL709" s="44"/>
      <c r="BM709" s="79">
        <f t="shared" si="92"/>
        <v>0</v>
      </c>
      <c r="BN709" s="75"/>
      <c r="BO709" s="75"/>
    </row>
    <row r="710" spans="1:67" s="4" customFormat="1" ht="31.2" x14ac:dyDescent="0.3">
      <c r="A710" s="220"/>
      <c r="B710" s="50" t="s">
        <v>1171</v>
      </c>
      <c r="C710" s="41" t="s">
        <v>29</v>
      </c>
      <c r="D710" s="41">
        <v>3</v>
      </c>
      <c r="E710" s="41"/>
      <c r="F710" s="41">
        <v>3</v>
      </c>
      <c r="G710" s="41"/>
      <c r="H710" s="41"/>
      <c r="I710" s="41"/>
      <c r="J710" s="39">
        <v>3</v>
      </c>
      <c r="K710" s="50"/>
      <c r="L710" s="50" t="s">
        <v>208</v>
      </c>
      <c r="M710" s="110"/>
      <c r="N710" s="110"/>
      <c r="O710" s="110"/>
      <c r="P710" s="39"/>
      <c r="Q710" s="39"/>
      <c r="R710" s="39"/>
      <c r="S710" s="39"/>
      <c r="T710" s="39"/>
      <c r="U710" s="39"/>
      <c r="V710" s="39"/>
      <c r="W710" s="39"/>
      <c r="X710" s="39"/>
      <c r="Y710" s="39"/>
      <c r="Z710" s="39"/>
      <c r="AA710" s="39">
        <v>3</v>
      </c>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39"/>
      <c r="BD710" s="39"/>
      <c r="BE710" s="39"/>
      <c r="BF710" s="39"/>
      <c r="BG710" s="39"/>
      <c r="BH710" s="39"/>
      <c r="BI710" s="39"/>
      <c r="BJ710" s="78">
        <f t="shared" si="89"/>
        <v>0</v>
      </c>
      <c r="BK710" s="39"/>
      <c r="BL710" s="44"/>
      <c r="BM710" s="79">
        <f t="shared" si="92"/>
        <v>0</v>
      </c>
      <c r="BN710" s="75"/>
      <c r="BO710" s="75"/>
    </row>
    <row r="711" spans="1:67" s="4" customFormat="1" ht="31.2" x14ac:dyDescent="0.3">
      <c r="A711" s="220"/>
      <c r="B711" s="50" t="s">
        <v>1172</v>
      </c>
      <c r="C711" s="41" t="s">
        <v>29</v>
      </c>
      <c r="D711" s="41">
        <v>4</v>
      </c>
      <c r="E711" s="41"/>
      <c r="F711" s="41">
        <v>4</v>
      </c>
      <c r="G711" s="41"/>
      <c r="H711" s="41"/>
      <c r="I711" s="41"/>
      <c r="J711" s="39">
        <v>4</v>
      </c>
      <c r="K711" s="50"/>
      <c r="L711" s="54" t="s">
        <v>91</v>
      </c>
      <c r="M711" s="110"/>
      <c r="N711" s="110"/>
      <c r="O711" s="110"/>
      <c r="P711" s="39"/>
      <c r="Q711" s="39"/>
      <c r="R711" s="39"/>
      <c r="S711" s="39"/>
      <c r="T711" s="39"/>
      <c r="U711" s="39"/>
      <c r="V711" s="39"/>
      <c r="W711" s="39"/>
      <c r="X711" s="39"/>
      <c r="Y711" s="39"/>
      <c r="Z711" s="39"/>
      <c r="AA711" s="39">
        <v>4</v>
      </c>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39"/>
      <c r="BD711" s="39"/>
      <c r="BE711" s="39"/>
      <c r="BF711" s="39"/>
      <c r="BG711" s="39"/>
      <c r="BH711" s="39"/>
      <c r="BI711" s="39"/>
      <c r="BJ711" s="78">
        <f t="shared" si="89"/>
        <v>0</v>
      </c>
      <c r="BK711" s="39"/>
      <c r="BL711" s="44"/>
      <c r="BM711" s="79">
        <f t="shared" si="92"/>
        <v>0</v>
      </c>
      <c r="BN711" s="75"/>
      <c r="BO711" s="75"/>
    </row>
    <row r="712" spans="1:67" s="4" customFormat="1" ht="31.2" x14ac:dyDescent="0.3">
      <c r="A712" s="220"/>
      <c r="B712" s="50" t="s">
        <v>1173</v>
      </c>
      <c r="C712" s="41" t="s">
        <v>29</v>
      </c>
      <c r="D712" s="41">
        <v>3</v>
      </c>
      <c r="E712" s="41"/>
      <c r="F712" s="41">
        <v>3</v>
      </c>
      <c r="G712" s="41"/>
      <c r="H712" s="41"/>
      <c r="I712" s="41"/>
      <c r="J712" s="39">
        <v>3</v>
      </c>
      <c r="K712" s="50"/>
      <c r="L712" s="54" t="s">
        <v>280</v>
      </c>
      <c r="M712" s="110"/>
      <c r="N712" s="110"/>
      <c r="O712" s="110"/>
      <c r="P712" s="39"/>
      <c r="Q712" s="39"/>
      <c r="R712" s="39"/>
      <c r="S712" s="39"/>
      <c r="T712" s="39"/>
      <c r="U712" s="39"/>
      <c r="V712" s="39"/>
      <c r="W712" s="39"/>
      <c r="X712" s="39"/>
      <c r="Y712" s="39"/>
      <c r="Z712" s="39"/>
      <c r="AA712" s="39">
        <v>3</v>
      </c>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c r="BC712" s="39"/>
      <c r="BD712" s="39"/>
      <c r="BE712" s="39"/>
      <c r="BF712" s="39"/>
      <c r="BG712" s="39"/>
      <c r="BH712" s="39"/>
      <c r="BI712" s="39"/>
      <c r="BJ712" s="78">
        <f t="shared" si="89"/>
        <v>0</v>
      </c>
      <c r="BK712" s="39"/>
      <c r="BL712" s="44"/>
      <c r="BM712" s="79">
        <f t="shared" si="92"/>
        <v>0</v>
      </c>
      <c r="BN712" s="75"/>
      <c r="BO712" s="75"/>
    </row>
    <row r="713" spans="1:67" s="4" customFormat="1" ht="31.2" x14ac:dyDescent="0.3">
      <c r="A713" s="220"/>
      <c r="B713" s="50" t="s">
        <v>1174</v>
      </c>
      <c r="C713" s="41" t="s">
        <v>29</v>
      </c>
      <c r="D713" s="41">
        <v>3</v>
      </c>
      <c r="E713" s="41"/>
      <c r="F713" s="41">
        <v>3</v>
      </c>
      <c r="G713" s="41"/>
      <c r="H713" s="41"/>
      <c r="I713" s="41"/>
      <c r="J713" s="39">
        <v>3</v>
      </c>
      <c r="K713" s="50"/>
      <c r="L713" s="197" t="s">
        <v>93</v>
      </c>
      <c r="M713" s="110"/>
      <c r="N713" s="110"/>
      <c r="O713" s="110"/>
      <c r="P713" s="39"/>
      <c r="Q713" s="39"/>
      <c r="R713" s="39"/>
      <c r="S713" s="39"/>
      <c r="T713" s="39"/>
      <c r="U713" s="39"/>
      <c r="V713" s="39"/>
      <c r="W713" s="39"/>
      <c r="X713" s="39"/>
      <c r="Y713" s="39"/>
      <c r="Z713" s="39"/>
      <c r="AA713" s="39">
        <v>3</v>
      </c>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c r="BC713" s="39"/>
      <c r="BD713" s="39"/>
      <c r="BE713" s="39"/>
      <c r="BF713" s="39"/>
      <c r="BG713" s="39"/>
      <c r="BH713" s="39"/>
      <c r="BI713" s="39"/>
      <c r="BJ713" s="78">
        <f t="shared" si="89"/>
        <v>0</v>
      </c>
      <c r="BK713" s="39"/>
      <c r="BL713" s="44"/>
      <c r="BM713" s="79">
        <f t="shared" si="92"/>
        <v>0</v>
      </c>
      <c r="BN713" s="75"/>
      <c r="BO713" s="75"/>
    </row>
    <row r="714" spans="1:67" s="4" customFormat="1" ht="31.2" x14ac:dyDescent="0.3">
      <c r="A714" s="220"/>
      <c r="B714" s="50" t="s">
        <v>1175</v>
      </c>
      <c r="C714" s="41" t="s">
        <v>29</v>
      </c>
      <c r="D714" s="41">
        <v>3</v>
      </c>
      <c r="E714" s="41"/>
      <c r="F714" s="41">
        <v>3</v>
      </c>
      <c r="G714" s="41"/>
      <c r="H714" s="41"/>
      <c r="I714" s="41"/>
      <c r="J714" s="39">
        <v>3</v>
      </c>
      <c r="K714" s="50"/>
      <c r="L714" s="54" t="s">
        <v>285</v>
      </c>
      <c r="M714" s="110"/>
      <c r="N714" s="110"/>
      <c r="O714" s="110"/>
      <c r="P714" s="39"/>
      <c r="Q714" s="39"/>
      <c r="R714" s="39"/>
      <c r="S714" s="39"/>
      <c r="T714" s="39"/>
      <c r="U714" s="39"/>
      <c r="V714" s="39"/>
      <c r="W714" s="39"/>
      <c r="X714" s="39"/>
      <c r="Y714" s="39"/>
      <c r="Z714" s="39"/>
      <c r="AA714" s="39">
        <v>3</v>
      </c>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c r="BC714" s="39"/>
      <c r="BD714" s="39"/>
      <c r="BE714" s="39"/>
      <c r="BF714" s="39"/>
      <c r="BG714" s="39"/>
      <c r="BH714" s="39"/>
      <c r="BI714" s="39"/>
      <c r="BJ714" s="78">
        <f t="shared" si="89"/>
        <v>0</v>
      </c>
      <c r="BK714" s="39"/>
      <c r="BL714" s="44"/>
      <c r="BM714" s="79">
        <f t="shared" si="92"/>
        <v>0</v>
      </c>
      <c r="BN714" s="75"/>
      <c r="BO714" s="75"/>
    </row>
    <row r="715" spans="1:67" s="4" customFormat="1" ht="31.2" x14ac:dyDescent="0.3">
      <c r="A715" s="220"/>
      <c r="B715" s="50" t="s">
        <v>1176</v>
      </c>
      <c r="C715" s="41" t="s">
        <v>29</v>
      </c>
      <c r="D715" s="41">
        <v>3</v>
      </c>
      <c r="E715" s="41"/>
      <c r="F715" s="41">
        <v>3</v>
      </c>
      <c r="G715" s="41"/>
      <c r="H715" s="41"/>
      <c r="I715" s="41"/>
      <c r="J715" s="39">
        <v>3</v>
      </c>
      <c r="K715" s="50"/>
      <c r="L715" s="42" t="s">
        <v>377</v>
      </c>
      <c r="M715" s="110"/>
      <c r="N715" s="110"/>
      <c r="O715" s="110"/>
      <c r="P715" s="39"/>
      <c r="Q715" s="39"/>
      <c r="R715" s="39"/>
      <c r="S715" s="39"/>
      <c r="T715" s="39"/>
      <c r="U715" s="39"/>
      <c r="V715" s="39"/>
      <c r="W715" s="39"/>
      <c r="X715" s="39"/>
      <c r="Y715" s="39"/>
      <c r="Z715" s="39"/>
      <c r="AA715" s="39">
        <v>3</v>
      </c>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c r="BC715" s="39"/>
      <c r="BD715" s="39"/>
      <c r="BE715" s="39"/>
      <c r="BF715" s="39"/>
      <c r="BG715" s="39"/>
      <c r="BH715" s="39"/>
      <c r="BI715" s="39"/>
      <c r="BJ715" s="78">
        <f t="shared" si="89"/>
        <v>0</v>
      </c>
      <c r="BK715" s="39"/>
      <c r="BL715" s="44"/>
      <c r="BM715" s="79">
        <f t="shared" si="92"/>
        <v>0</v>
      </c>
      <c r="BN715" s="75"/>
      <c r="BO715" s="75"/>
    </row>
    <row r="716" spans="1:67" s="4" customFormat="1" ht="31.2" x14ac:dyDescent="0.3">
      <c r="A716" s="221"/>
      <c r="B716" s="50" t="s">
        <v>1177</v>
      </c>
      <c r="C716" s="41" t="s">
        <v>29</v>
      </c>
      <c r="D716" s="41">
        <v>6</v>
      </c>
      <c r="E716" s="41"/>
      <c r="F716" s="41">
        <v>6</v>
      </c>
      <c r="G716" s="41"/>
      <c r="H716" s="41"/>
      <c r="I716" s="41"/>
      <c r="J716" s="39">
        <v>6</v>
      </c>
      <c r="K716" s="50"/>
      <c r="L716" s="144" t="s">
        <v>415</v>
      </c>
      <c r="M716" s="110"/>
      <c r="N716" s="110"/>
      <c r="O716" s="110"/>
      <c r="P716" s="39"/>
      <c r="Q716" s="39"/>
      <c r="R716" s="39"/>
      <c r="S716" s="39"/>
      <c r="T716" s="39"/>
      <c r="U716" s="39"/>
      <c r="V716" s="39"/>
      <c r="W716" s="39"/>
      <c r="X716" s="39"/>
      <c r="Y716" s="39"/>
      <c r="Z716" s="39"/>
      <c r="AA716" s="39">
        <v>6</v>
      </c>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c r="BC716" s="39"/>
      <c r="BD716" s="39"/>
      <c r="BE716" s="39"/>
      <c r="BF716" s="39"/>
      <c r="BG716" s="39"/>
      <c r="BH716" s="39"/>
      <c r="BI716" s="39"/>
      <c r="BJ716" s="78"/>
      <c r="BK716" s="39"/>
      <c r="BL716" s="44"/>
      <c r="BM716" s="79">
        <f t="shared" si="92"/>
        <v>0</v>
      </c>
      <c r="BN716" s="75"/>
      <c r="BO716" s="75"/>
    </row>
    <row r="717" spans="1:67" s="4" customFormat="1" ht="31.2" x14ac:dyDescent="0.3">
      <c r="A717" s="48">
        <v>2</v>
      </c>
      <c r="B717" s="42" t="s">
        <v>306</v>
      </c>
      <c r="C717" s="43" t="s">
        <v>29</v>
      </c>
      <c r="D717" s="41">
        <f>0.47+2.3</f>
        <v>2.7699999999999996</v>
      </c>
      <c r="E717" s="41"/>
      <c r="F717" s="41">
        <v>2.77</v>
      </c>
      <c r="G717" s="41">
        <f>0.47+2.3</f>
        <v>2.7699999999999996</v>
      </c>
      <c r="H717" s="41"/>
      <c r="I717" s="39"/>
      <c r="J717" s="41">
        <f>SUM(V717:BG717)</f>
        <v>0</v>
      </c>
      <c r="K717" s="42" t="s">
        <v>901</v>
      </c>
      <c r="L717" s="42" t="s">
        <v>58</v>
      </c>
      <c r="M717" s="43">
        <v>10</v>
      </c>
      <c r="N717" s="210">
        <v>549</v>
      </c>
      <c r="O717" s="43"/>
      <c r="P717" s="124"/>
      <c r="Q717" s="79"/>
      <c r="R717" s="84"/>
      <c r="S717" s="84"/>
      <c r="T717" s="84"/>
      <c r="U717" s="84"/>
      <c r="V717" s="84"/>
      <c r="W717" s="84"/>
      <c r="X717" s="84"/>
      <c r="Y717" s="84"/>
      <c r="Z717" s="84"/>
      <c r="AA717" s="84"/>
      <c r="AB717" s="84"/>
      <c r="AC717" s="84"/>
      <c r="AD717" s="84"/>
      <c r="AE717" s="84"/>
      <c r="AF717" s="84"/>
      <c r="AG717" s="84"/>
      <c r="AH717" s="84"/>
      <c r="AI717" s="84"/>
      <c r="AJ717" s="84"/>
      <c r="AK717" s="84"/>
      <c r="AL717" s="84"/>
      <c r="AM717" s="84"/>
      <c r="AN717" s="84"/>
      <c r="AO717" s="84"/>
      <c r="AP717" s="84"/>
      <c r="AQ717" s="84"/>
      <c r="AR717" s="84"/>
      <c r="AS717" s="84"/>
      <c r="AT717" s="84"/>
      <c r="AU717" s="84"/>
      <c r="AV717" s="84"/>
      <c r="AW717" s="84"/>
      <c r="AX717" s="84"/>
      <c r="AY717" s="84"/>
      <c r="AZ717" s="84"/>
      <c r="BA717" s="84"/>
      <c r="BB717" s="84"/>
      <c r="BC717" s="84"/>
      <c r="BD717" s="84"/>
      <c r="BE717" s="84"/>
      <c r="BF717" s="84"/>
      <c r="BG717" s="84"/>
      <c r="BH717" s="84"/>
      <c r="BI717" s="84"/>
      <c r="BJ717" s="78">
        <f t="shared" si="89"/>
        <v>0</v>
      </c>
      <c r="BK717" s="84"/>
      <c r="BL717" s="44">
        <v>41</v>
      </c>
      <c r="BM717" s="79">
        <f t="shared" si="92"/>
        <v>0</v>
      </c>
      <c r="BN717" s="75"/>
      <c r="BO717" s="75"/>
    </row>
    <row r="718" spans="1:67" s="4" customFormat="1" x14ac:dyDescent="0.3">
      <c r="A718" s="48">
        <v>3</v>
      </c>
      <c r="B718" s="42" t="s">
        <v>306</v>
      </c>
      <c r="C718" s="43" t="s">
        <v>29</v>
      </c>
      <c r="D718" s="41">
        <v>3</v>
      </c>
      <c r="E718" s="41"/>
      <c r="F718" s="41">
        <v>3</v>
      </c>
      <c r="G718" s="41">
        <f>0.95+1.3</f>
        <v>2.25</v>
      </c>
      <c r="H718" s="41"/>
      <c r="I718" s="39"/>
      <c r="J718" s="41">
        <f>SUM(V718:BG718)</f>
        <v>0.75</v>
      </c>
      <c r="K718" s="42" t="s">
        <v>898</v>
      </c>
      <c r="L718" s="42" t="s">
        <v>58</v>
      </c>
      <c r="M718" s="43">
        <v>11</v>
      </c>
      <c r="N718" s="210">
        <v>550</v>
      </c>
      <c r="O718" s="43"/>
      <c r="P718" s="42"/>
      <c r="Q718" s="84"/>
      <c r="R718" s="84"/>
      <c r="S718" s="84"/>
      <c r="T718" s="84"/>
      <c r="U718" s="84"/>
      <c r="V718" s="84"/>
      <c r="W718" s="84"/>
      <c r="X718" s="84"/>
      <c r="Y718" s="84"/>
      <c r="Z718" s="84"/>
      <c r="AA718" s="84"/>
      <c r="AB718" s="84">
        <v>0.3</v>
      </c>
      <c r="AC718" s="84"/>
      <c r="AD718" s="84"/>
      <c r="AE718" s="84"/>
      <c r="AF718" s="84"/>
      <c r="AG718" s="84"/>
      <c r="AH718" s="84"/>
      <c r="AI718" s="84"/>
      <c r="AJ718" s="84"/>
      <c r="AK718" s="84"/>
      <c r="AL718" s="84"/>
      <c r="AM718" s="84"/>
      <c r="AN718" s="84"/>
      <c r="AO718" s="84"/>
      <c r="AP718" s="84"/>
      <c r="AQ718" s="84">
        <v>0.3</v>
      </c>
      <c r="AR718" s="84"/>
      <c r="AS718" s="84"/>
      <c r="AT718" s="84"/>
      <c r="AU718" s="84"/>
      <c r="AV718" s="84"/>
      <c r="AW718" s="84">
        <v>0.15</v>
      </c>
      <c r="AX718" s="84"/>
      <c r="AY718" s="84"/>
      <c r="AZ718" s="84"/>
      <c r="BA718" s="84"/>
      <c r="BB718" s="84"/>
      <c r="BC718" s="84"/>
      <c r="BD718" s="84"/>
      <c r="BE718" s="84"/>
      <c r="BF718" s="84"/>
      <c r="BG718" s="84"/>
      <c r="BH718" s="84"/>
      <c r="BI718" s="84"/>
      <c r="BJ718" s="78">
        <f t="shared" si="89"/>
        <v>0</v>
      </c>
      <c r="BK718" s="84"/>
      <c r="BL718" s="44">
        <v>41</v>
      </c>
      <c r="BM718" s="79">
        <f t="shared" si="92"/>
        <v>0</v>
      </c>
      <c r="BN718" s="75"/>
      <c r="BO718" s="75"/>
    </row>
    <row r="719" spans="1:67" s="4" customFormat="1" ht="31.2" x14ac:dyDescent="0.3">
      <c r="A719" s="48">
        <v>4</v>
      </c>
      <c r="B719" s="42" t="s">
        <v>306</v>
      </c>
      <c r="C719" s="43" t="s">
        <v>29</v>
      </c>
      <c r="D719" s="41">
        <v>4.3</v>
      </c>
      <c r="E719" s="41"/>
      <c r="F719" s="41">
        <v>4.3</v>
      </c>
      <c r="G719" s="41">
        <v>3</v>
      </c>
      <c r="H719" s="41"/>
      <c r="I719" s="39"/>
      <c r="J719" s="41">
        <f>SUM(V719:BG719)</f>
        <v>1.3</v>
      </c>
      <c r="K719" s="42" t="s">
        <v>902</v>
      </c>
      <c r="L719" s="42" t="s">
        <v>58</v>
      </c>
      <c r="M719" s="43">
        <v>12</v>
      </c>
      <c r="N719" s="210">
        <v>551</v>
      </c>
      <c r="O719" s="43"/>
      <c r="P719" s="105"/>
      <c r="Q719" s="84"/>
      <c r="R719" s="84"/>
      <c r="S719" s="84"/>
      <c r="T719" s="84"/>
      <c r="U719" s="84"/>
      <c r="V719" s="84"/>
      <c r="W719" s="84"/>
      <c r="X719" s="84"/>
      <c r="Y719" s="84"/>
      <c r="Z719" s="84">
        <v>0.9</v>
      </c>
      <c r="AA719" s="84"/>
      <c r="AB719" s="84"/>
      <c r="AC719" s="84"/>
      <c r="AD719" s="84"/>
      <c r="AE719" s="84"/>
      <c r="AF719" s="84"/>
      <c r="AG719" s="84"/>
      <c r="AH719" s="84"/>
      <c r="AI719" s="84"/>
      <c r="AJ719" s="84"/>
      <c r="AK719" s="84"/>
      <c r="AL719" s="84"/>
      <c r="AM719" s="84"/>
      <c r="AN719" s="84"/>
      <c r="AO719" s="84"/>
      <c r="AP719" s="84"/>
      <c r="AQ719" s="84">
        <v>0.4</v>
      </c>
      <c r="AR719" s="84"/>
      <c r="AS719" s="84"/>
      <c r="AT719" s="84"/>
      <c r="AU719" s="84"/>
      <c r="AV719" s="84"/>
      <c r="AW719" s="84"/>
      <c r="AX719" s="84"/>
      <c r="AY719" s="84"/>
      <c r="AZ719" s="84"/>
      <c r="BA719" s="84"/>
      <c r="BB719" s="84"/>
      <c r="BC719" s="84"/>
      <c r="BD719" s="84"/>
      <c r="BE719" s="84"/>
      <c r="BF719" s="84"/>
      <c r="BG719" s="84"/>
      <c r="BH719" s="84"/>
      <c r="BI719" s="84"/>
      <c r="BJ719" s="78">
        <f t="shared" si="89"/>
        <v>0</v>
      </c>
      <c r="BK719" s="84"/>
      <c r="BL719" s="44">
        <v>41</v>
      </c>
      <c r="BM719" s="79">
        <f t="shared" si="92"/>
        <v>0</v>
      </c>
      <c r="BN719" s="75"/>
      <c r="BO719" s="75"/>
    </row>
    <row r="720" spans="1:67" s="4" customFormat="1" x14ac:dyDescent="0.3">
      <c r="A720" s="48">
        <v>5</v>
      </c>
      <c r="B720" s="42" t="s">
        <v>306</v>
      </c>
      <c r="C720" s="43" t="s">
        <v>29</v>
      </c>
      <c r="D720" s="41">
        <f>0.2+13.1</f>
        <v>13.299999999999999</v>
      </c>
      <c r="E720" s="41"/>
      <c r="F720" s="41">
        <v>13.3</v>
      </c>
      <c r="G720" s="41">
        <v>5.2</v>
      </c>
      <c r="H720" s="41"/>
      <c r="I720" s="39"/>
      <c r="J720" s="41">
        <f>SUM(V720:BG720)</f>
        <v>8.1</v>
      </c>
      <c r="K720" s="42" t="s">
        <v>895</v>
      </c>
      <c r="L720" s="42" t="s">
        <v>58</v>
      </c>
      <c r="M720" s="43">
        <v>14</v>
      </c>
      <c r="N720" s="210">
        <v>552</v>
      </c>
      <c r="O720" s="43"/>
      <c r="P720" s="199"/>
      <c r="Q720" s="84"/>
      <c r="R720" s="84"/>
      <c r="S720" s="79"/>
      <c r="T720" s="84"/>
      <c r="U720" s="84"/>
      <c r="V720" s="84"/>
      <c r="W720" s="84"/>
      <c r="X720" s="84"/>
      <c r="Y720" s="84"/>
      <c r="Z720" s="84">
        <v>6</v>
      </c>
      <c r="AA720" s="84"/>
      <c r="AB720" s="84"/>
      <c r="AC720" s="84"/>
      <c r="AD720" s="84"/>
      <c r="AE720" s="84"/>
      <c r="AF720" s="84"/>
      <c r="AG720" s="84"/>
      <c r="AH720" s="84"/>
      <c r="AI720" s="84"/>
      <c r="AJ720" s="84"/>
      <c r="AK720" s="84"/>
      <c r="AL720" s="84"/>
      <c r="AM720" s="84"/>
      <c r="AN720" s="84"/>
      <c r="AO720" s="84"/>
      <c r="AP720" s="84"/>
      <c r="AQ720" s="84">
        <v>1.2</v>
      </c>
      <c r="AR720" s="84"/>
      <c r="AS720" s="84"/>
      <c r="AT720" s="84"/>
      <c r="AU720" s="84"/>
      <c r="AV720" s="84"/>
      <c r="AW720" s="84">
        <v>0.9</v>
      </c>
      <c r="AX720" s="84"/>
      <c r="AY720" s="84"/>
      <c r="AZ720" s="84"/>
      <c r="BA720" s="84"/>
      <c r="BB720" s="84"/>
      <c r="BC720" s="84"/>
      <c r="BD720" s="84"/>
      <c r="BE720" s="84"/>
      <c r="BF720" s="84"/>
      <c r="BG720" s="84"/>
      <c r="BH720" s="84"/>
      <c r="BI720" s="84"/>
      <c r="BJ720" s="78">
        <f t="shared" si="89"/>
        <v>0</v>
      </c>
      <c r="BK720" s="84"/>
      <c r="BL720" s="44">
        <v>41</v>
      </c>
      <c r="BM720" s="79">
        <f t="shared" si="92"/>
        <v>0</v>
      </c>
      <c r="BN720" s="75"/>
      <c r="BO720" s="75"/>
    </row>
    <row r="721" spans="1:67" s="4" customFormat="1" ht="31.2" x14ac:dyDescent="0.3">
      <c r="A721" s="48">
        <v>6</v>
      </c>
      <c r="B721" s="42" t="s">
        <v>306</v>
      </c>
      <c r="C721" s="48" t="s">
        <v>29</v>
      </c>
      <c r="D721" s="39">
        <v>2.5</v>
      </c>
      <c r="E721" s="39"/>
      <c r="F721" s="39">
        <v>2.5</v>
      </c>
      <c r="G721" s="39">
        <v>1.5</v>
      </c>
      <c r="H721" s="40"/>
      <c r="I721" s="39"/>
      <c r="J721" s="41">
        <f>SUM(V721:BG721)</f>
        <v>1</v>
      </c>
      <c r="K721" s="42" t="s">
        <v>903</v>
      </c>
      <c r="L721" s="42" t="s">
        <v>58</v>
      </c>
      <c r="M721" s="44">
        <v>22</v>
      </c>
      <c r="N721" s="209">
        <v>553</v>
      </c>
      <c r="O721" s="44"/>
      <c r="P721" s="124"/>
      <c r="Q721" s="84"/>
      <c r="R721" s="84"/>
      <c r="S721" s="84"/>
      <c r="T721" s="84"/>
      <c r="U721" s="84"/>
      <c r="V721" s="84"/>
      <c r="W721" s="84"/>
      <c r="X721" s="84"/>
      <c r="Y721" s="84"/>
      <c r="Z721" s="84">
        <v>1</v>
      </c>
      <c r="AA721" s="84"/>
      <c r="AB721" s="84"/>
      <c r="AC721" s="84"/>
      <c r="AD721" s="84"/>
      <c r="AE721" s="84"/>
      <c r="AF721" s="84"/>
      <c r="AG721" s="84"/>
      <c r="AH721" s="84"/>
      <c r="AI721" s="84"/>
      <c r="AJ721" s="84"/>
      <c r="AK721" s="84"/>
      <c r="AL721" s="84"/>
      <c r="AM721" s="84"/>
      <c r="AN721" s="84"/>
      <c r="AO721" s="84"/>
      <c r="AP721" s="84"/>
      <c r="AQ721" s="84"/>
      <c r="AR721" s="84"/>
      <c r="AS721" s="84"/>
      <c r="AT721" s="84"/>
      <c r="AU721" s="84"/>
      <c r="AV721" s="84"/>
      <c r="AW721" s="84"/>
      <c r="AX721" s="84"/>
      <c r="AY721" s="84"/>
      <c r="AZ721" s="84"/>
      <c r="BA721" s="84"/>
      <c r="BB721" s="84"/>
      <c r="BC721" s="84"/>
      <c r="BD721" s="84"/>
      <c r="BE721" s="84"/>
      <c r="BF721" s="84"/>
      <c r="BG721" s="84"/>
      <c r="BH721" s="84"/>
      <c r="BI721" s="84"/>
      <c r="BJ721" s="78">
        <f t="shared" si="89"/>
        <v>0</v>
      </c>
      <c r="BK721" s="84"/>
      <c r="BL721" s="44">
        <v>41</v>
      </c>
      <c r="BM721" s="79">
        <f t="shared" si="92"/>
        <v>0</v>
      </c>
      <c r="BN721" s="75"/>
      <c r="BO721" s="75"/>
    </row>
    <row r="722" spans="1:67" s="4" customFormat="1" ht="93.6" x14ac:dyDescent="0.3">
      <c r="A722" s="48">
        <v>7</v>
      </c>
      <c r="B722" s="42" t="s">
        <v>306</v>
      </c>
      <c r="C722" s="48" t="s">
        <v>29</v>
      </c>
      <c r="D722" s="41">
        <v>5.14</v>
      </c>
      <c r="E722" s="39"/>
      <c r="F722" s="41">
        <f t="shared" ref="F722:F728" si="93">D722</f>
        <v>5.14</v>
      </c>
      <c r="G722" s="41">
        <f>F722-J722</f>
        <v>3.63</v>
      </c>
      <c r="H722" s="41"/>
      <c r="I722" s="41"/>
      <c r="J722" s="107">
        <v>1.51</v>
      </c>
      <c r="K722" s="42" t="s">
        <v>940</v>
      </c>
      <c r="L722" s="42" t="s">
        <v>81</v>
      </c>
      <c r="M722" s="48">
        <v>1</v>
      </c>
      <c r="N722" s="206">
        <v>554</v>
      </c>
      <c r="O722" s="48"/>
      <c r="P722" s="106"/>
      <c r="Q722" s="106"/>
      <c r="R722" s="106"/>
      <c r="S722" s="106"/>
      <c r="T722" s="106"/>
      <c r="U722" s="106"/>
      <c r="V722" s="106"/>
      <c r="W722" s="106"/>
      <c r="X722" s="106"/>
      <c r="Y722" s="106"/>
      <c r="Z722" s="106">
        <v>1.51</v>
      </c>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6"/>
      <c r="BG722" s="106"/>
      <c r="BH722" s="106"/>
      <c r="BI722" s="106"/>
      <c r="BJ722" s="78">
        <f t="shared" si="89"/>
        <v>0</v>
      </c>
      <c r="BK722" s="106"/>
      <c r="BL722" s="44">
        <v>41</v>
      </c>
      <c r="BM722" s="79">
        <f t="shared" si="92"/>
        <v>0</v>
      </c>
      <c r="BN722" s="75"/>
      <c r="BO722" s="75"/>
    </row>
    <row r="723" spans="1:67" s="4" customFormat="1" ht="62.4" x14ac:dyDescent="0.3">
      <c r="A723" s="48">
        <v>8</v>
      </c>
      <c r="B723" s="42" t="s">
        <v>306</v>
      </c>
      <c r="C723" s="48" t="s">
        <v>29</v>
      </c>
      <c r="D723" s="41">
        <v>19.899999999999999</v>
      </c>
      <c r="E723" s="39"/>
      <c r="F723" s="41">
        <f t="shared" si="93"/>
        <v>19.899999999999999</v>
      </c>
      <c r="G723" s="41">
        <f>D723</f>
        <v>19.899999999999999</v>
      </c>
      <c r="H723" s="41"/>
      <c r="I723" s="41"/>
      <c r="J723" s="107"/>
      <c r="K723" s="42" t="s">
        <v>941</v>
      </c>
      <c r="L723" s="42" t="s">
        <v>81</v>
      </c>
      <c r="M723" s="48">
        <v>2</v>
      </c>
      <c r="N723" s="206">
        <v>555</v>
      </c>
      <c r="O723" s="48"/>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723" s="84"/>
      <c r="AN723" s="84"/>
      <c r="AO723" s="84"/>
      <c r="AP723" s="84"/>
      <c r="AQ723" s="84"/>
      <c r="AR723" s="84"/>
      <c r="AS723" s="84"/>
      <c r="AT723" s="84"/>
      <c r="AU723" s="84"/>
      <c r="AV723" s="84"/>
      <c r="AW723" s="84"/>
      <c r="AX723" s="84"/>
      <c r="AY723" s="84"/>
      <c r="AZ723" s="84"/>
      <c r="BA723" s="84"/>
      <c r="BB723" s="84"/>
      <c r="BC723" s="84"/>
      <c r="BD723" s="84"/>
      <c r="BE723" s="84"/>
      <c r="BF723" s="84"/>
      <c r="BG723" s="84"/>
      <c r="BH723" s="84"/>
      <c r="BI723" s="84"/>
      <c r="BJ723" s="78">
        <f t="shared" si="89"/>
        <v>0</v>
      </c>
      <c r="BK723" s="84"/>
      <c r="BL723" s="44">
        <v>41</v>
      </c>
      <c r="BM723" s="79">
        <f t="shared" si="92"/>
        <v>0</v>
      </c>
      <c r="BN723" s="75"/>
      <c r="BO723" s="75"/>
    </row>
    <row r="724" spans="1:67" s="4" customFormat="1" ht="93.6" x14ac:dyDescent="0.3">
      <c r="A724" s="48">
        <v>9</v>
      </c>
      <c r="B724" s="42" t="s">
        <v>306</v>
      </c>
      <c r="C724" s="48" t="s">
        <v>29</v>
      </c>
      <c r="D724" s="41">
        <v>7.1</v>
      </c>
      <c r="E724" s="39"/>
      <c r="F724" s="41">
        <f t="shared" si="93"/>
        <v>7.1</v>
      </c>
      <c r="G724" s="41">
        <v>6.43</v>
      </c>
      <c r="H724" s="85"/>
      <c r="I724" s="39"/>
      <c r="J724" s="107">
        <v>0.67</v>
      </c>
      <c r="K724" s="42" t="s">
        <v>942</v>
      </c>
      <c r="L724" s="42" t="s">
        <v>81</v>
      </c>
      <c r="M724" s="48">
        <v>10</v>
      </c>
      <c r="N724" s="206">
        <v>556</v>
      </c>
      <c r="O724" s="48"/>
      <c r="P724" s="84"/>
      <c r="Q724" s="84"/>
      <c r="R724" s="84"/>
      <c r="S724" s="84"/>
      <c r="T724" s="84"/>
      <c r="U724" s="84"/>
      <c r="V724" s="84"/>
      <c r="W724" s="84"/>
      <c r="X724" s="84"/>
      <c r="Y724" s="84"/>
      <c r="Z724" s="84">
        <v>0.6</v>
      </c>
      <c r="AA724" s="84"/>
      <c r="AB724" s="84"/>
      <c r="AC724" s="84"/>
      <c r="AD724" s="84"/>
      <c r="AE724" s="84"/>
      <c r="AF724" s="84"/>
      <c r="AG724" s="84"/>
      <c r="AH724" s="84"/>
      <c r="AI724" s="84"/>
      <c r="AJ724" s="84"/>
      <c r="AK724" s="84"/>
      <c r="AL724" s="84"/>
      <c r="AM724" s="84"/>
      <c r="AN724" s="84"/>
      <c r="AO724" s="84"/>
      <c r="AP724" s="84"/>
      <c r="AQ724" s="84"/>
      <c r="AR724" s="84"/>
      <c r="AS724" s="84"/>
      <c r="AT724" s="84"/>
      <c r="AU724" s="84"/>
      <c r="AV724" s="84"/>
      <c r="AW724" s="84"/>
      <c r="AX724" s="84"/>
      <c r="AY724" s="84"/>
      <c r="AZ724" s="84"/>
      <c r="BA724" s="84"/>
      <c r="BB724" s="84"/>
      <c r="BC724" s="84"/>
      <c r="BD724" s="84"/>
      <c r="BE724" s="84">
        <v>7.0000000000000007E-2</v>
      </c>
      <c r="BF724" s="84"/>
      <c r="BG724" s="84"/>
      <c r="BH724" s="84"/>
      <c r="BI724" s="84"/>
      <c r="BJ724" s="78">
        <f t="shared" si="89"/>
        <v>0</v>
      </c>
      <c r="BK724" s="84"/>
      <c r="BL724" s="44">
        <v>41</v>
      </c>
      <c r="BM724" s="79">
        <f t="shared" si="92"/>
        <v>0</v>
      </c>
      <c r="BN724" s="75"/>
      <c r="BO724" s="75"/>
    </row>
    <row r="725" spans="1:67" s="4" customFormat="1" ht="62.4" x14ac:dyDescent="0.3">
      <c r="A725" s="48">
        <v>10</v>
      </c>
      <c r="B725" s="42" t="s">
        <v>306</v>
      </c>
      <c r="C725" s="48" t="s">
        <v>29</v>
      </c>
      <c r="D725" s="41">
        <v>9.6999999999999993</v>
      </c>
      <c r="E725" s="39"/>
      <c r="F725" s="41">
        <f t="shared" si="93"/>
        <v>9.6999999999999993</v>
      </c>
      <c r="G725" s="41">
        <v>5.7</v>
      </c>
      <c r="H725" s="41"/>
      <c r="I725" s="39"/>
      <c r="J725" s="107">
        <v>4</v>
      </c>
      <c r="K725" s="42" t="s">
        <v>1047</v>
      </c>
      <c r="L725" s="42" t="s">
        <v>81</v>
      </c>
      <c r="M725" s="48">
        <v>11</v>
      </c>
      <c r="N725" s="206">
        <v>557</v>
      </c>
      <c r="O725" s="48"/>
      <c r="P725" s="84"/>
      <c r="Q725" s="84"/>
      <c r="R725" s="84"/>
      <c r="S725" s="84"/>
      <c r="T725" s="84"/>
      <c r="U725" s="84"/>
      <c r="V725" s="84"/>
      <c r="W725" s="84"/>
      <c r="X725" s="84"/>
      <c r="Y725" s="84"/>
      <c r="Z725" s="84">
        <v>4</v>
      </c>
      <c r="AA725" s="84"/>
      <c r="AB725" s="84"/>
      <c r="AC725" s="84"/>
      <c r="AD725" s="84"/>
      <c r="AE725" s="84"/>
      <c r="AF725" s="84"/>
      <c r="AG725" s="84"/>
      <c r="AH725" s="84"/>
      <c r="AI725" s="84"/>
      <c r="AJ725" s="84"/>
      <c r="AK725" s="84"/>
      <c r="AL725" s="84"/>
      <c r="AM725" s="84"/>
      <c r="AN725" s="84"/>
      <c r="AO725" s="84"/>
      <c r="AP725" s="84"/>
      <c r="AQ725" s="84"/>
      <c r="AR725" s="84"/>
      <c r="AS725" s="84"/>
      <c r="AT725" s="84"/>
      <c r="AU725" s="84"/>
      <c r="AV725" s="84"/>
      <c r="AW725" s="84"/>
      <c r="AX725" s="84"/>
      <c r="AY725" s="84"/>
      <c r="AZ725" s="84"/>
      <c r="BA725" s="84"/>
      <c r="BB725" s="84"/>
      <c r="BC725" s="84"/>
      <c r="BD725" s="84"/>
      <c r="BE725" s="84"/>
      <c r="BF725" s="84"/>
      <c r="BG725" s="84"/>
      <c r="BH725" s="84"/>
      <c r="BI725" s="84"/>
      <c r="BJ725" s="78">
        <f t="shared" si="89"/>
        <v>0</v>
      </c>
      <c r="BK725" s="84"/>
      <c r="BL725" s="44">
        <v>41</v>
      </c>
      <c r="BM725" s="79">
        <f t="shared" si="92"/>
        <v>0</v>
      </c>
      <c r="BN725" s="75"/>
      <c r="BO725" s="75"/>
    </row>
    <row r="726" spans="1:67" s="4" customFormat="1" ht="78" x14ac:dyDescent="0.3">
      <c r="A726" s="48">
        <v>11</v>
      </c>
      <c r="B726" s="42" t="s">
        <v>306</v>
      </c>
      <c r="C726" s="48" t="s">
        <v>29</v>
      </c>
      <c r="D726" s="41">
        <v>0.74</v>
      </c>
      <c r="E726" s="39"/>
      <c r="F726" s="41">
        <f t="shared" si="93"/>
        <v>0.74</v>
      </c>
      <c r="G726" s="41">
        <v>0.53</v>
      </c>
      <c r="H726" s="41"/>
      <c r="I726" s="39"/>
      <c r="J726" s="107">
        <v>0.21</v>
      </c>
      <c r="K726" s="42" t="s">
        <v>82</v>
      </c>
      <c r="L726" s="42" t="s">
        <v>81</v>
      </c>
      <c r="M726" s="48">
        <v>16</v>
      </c>
      <c r="N726" s="206">
        <v>558</v>
      </c>
      <c r="O726" s="48"/>
      <c r="P726" s="84"/>
      <c r="Q726" s="84"/>
      <c r="R726" s="84"/>
      <c r="S726" s="84"/>
      <c r="T726" s="84"/>
      <c r="U726" s="84"/>
      <c r="V726" s="84"/>
      <c r="W726" s="84"/>
      <c r="X726" s="84"/>
      <c r="Y726" s="84"/>
      <c r="Z726" s="84">
        <v>0.21</v>
      </c>
      <c r="AA726" s="84"/>
      <c r="AB726" s="84"/>
      <c r="AC726" s="84"/>
      <c r="AD726" s="84"/>
      <c r="AE726" s="84"/>
      <c r="AF726" s="84"/>
      <c r="AG726" s="84"/>
      <c r="AH726" s="84"/>
      <c r="AI726" s="84"/>
      <c r="AJ726" s="84"/>
      <c r="AK726" s="84"/>
      <c r="AL726" s="84"/>
      <c r="AM726" s="84"/>
      <c r="AN726" s="84"/>
      <c r="AO726" s="84"/>
      <c r="AP726" s="84"/>
      <c r="AQ726" s="84"/>
      <c r="AR726" s="84"/>
      <c r="AS726" s="84"/>
      <c r="AT726" s="84"/>
      <c r="AU726" s="84"/>
      <c r="AV726" s="84"/>
      <c r="AW726" s="84"/>
      <c r="AX726" s="84"/>
      <c r="AY726" s="84"/>
      <c r="AZ726" s="84"/>
      <c r="BA726" s="84"/>
      <c r="BB726" s="84"/>
      <c r="BC726" s="84"/>
      <c r="BD726" s="84"/>
      <c r="BE726" s="84"/>
      <c r="BF726" s="84"/>
      <c r="BG726" s="84"/>
      <c r="BH726" s="84"/>
      <c r="BI726" s="84"/>
      <c r="BJ726" s="78">
        <f t="shared" si="89"/>
        <v>0</v>
      </c>
      <c r="BK726" s="84"/>
      <c r="BL726" s="44">
        <v>41</v>
      </c>
      <c r="BM726" s="79">
        <f t="shared" si="92"/>
        <v>0</v>
      </c>
      <c r="BN726" s="75"/>
      <c r="BO726" s="75"/>
    </row>
    <row r="727" spans="1:67" s="4" customFormat="1" ht="46.8" x14ac:dyDescent="0.3">
      <c r="A727" s="48">
        <v>12</v>
      </c>
      <c r="B727" s="42" t="s">
        <v>306</v>
      </c>
      <c r="C727" s="48" t="s">
        <v>29</v>
      </c>
      <c r="D727" s="41">
        <v>3.45</v>
      </c>
      <c r="E727" s="39"/>
      <c r="F727" s="41">
        <f t="shared" si="93"/>
        <v>3.45</v>
      </c>
      <c r="G727" s="41">
        <v>2.58</v>
      </c>
      <c r="H727" s="41"/>
      <c r="I727" s="39"/>
      <c r="J727" s="107">
        <v>0.87</v>
      </c>
      <c r="K727" s="42" t="s">
        <v>943</v>
      </c>
      <c r="L727" s="42" t="s">
        <v>81</v>
      </c>
      <c r="M727" s="48">
        <v>19</v>
      </c>
      <c r="N727" s="206">
        <v>559</v>
      </c>
      <c r="O727" s="48"/>
      <c r="P727" s="84"/>
      <c r="Q727" s="84"/>
      <c r="R727" s="84"/>
      <c r="S727" s="84"/>
      <c r="T727" s="84"/>
      <c r="U727" s="84"/>
      <c r="V727" s="84"/>
      <c r="W727" s="84"/>
      <c r="X727" s="84"/>
      <c r="Y727" s="84"/>
      <c r="Z727" s="84">
        <v>0.15</v>
      </c>
      <c r="AA727" s="84"/>
      <c r="AB727" s="84"/>
      <c r="AC727" s="84"/>
      <c r="AD727" s="84"/>
      <c r="AE727" s="84"/>
      <c r="AF727" s="84"/>
      <c r="AG727" s="84"/>
      <c r="AH727" s="84"/>
      <c r="AI727" s="84"/>
      <c r="AJ727" s="84"/>
      <c r="AK727" s="84"/>
      <c r="AL727" s="84"/>
      <c r="AM727" s="84"/>
      <c r="AN727" s="84"/>
      <c r="AO727" s="84"/>
      <c r="AP727" s="84"/>
      <c r="AQ727" s="84"/>
      <c r="AR727" s="84"/>
      <c r="AS727" s="84"/>
      <c r="AT727" s="84"/>
      <c r="AU727" s="84"/>
      <c r="AV727" s="84"/>
      <c r="AW727" s="84"/>
      <c r="AX727" s="84"/>
      <c r="AY727" s="84"/>
      <c r="AZ727" s="84"/>
      <c r="BA727" s="84"/>
      <c r="BB727" s="84"/>
      <c r="BC727" s="84"/>
      <c r="BD727" s="84">
        <v>0.72</v>
      </c>
      <c r="BE727" s="84"/>
      <c r="BF727" s="84"/>
      <c r="BG727" s="84"/>
      <c r="BH727" s="84"/>
      <c r="BI727" s="84"/>
      <c r="BJ727" s="78">
        <f t="shared" si="89"/>
        <v>0</v>
      </c>
      <c r="BK727" s="84"/>
      <c r="BL727" s="44">
        <v>41</v>
      </c>
      <c r="BM727" s="79">
        <f t="shared" si="92"/>
        <v>0</v>
      </c>
      <c r="BN727" s="75"/>
      <c r="BO727" s="75"/>
    </row>
    <row r="728" spans="1:67" s="4" customFormat="1" ht="62.4" x14ac:dyDescent="0.3">
      <c r="A728" s="48">
        <v>13</v>
      </c>
      <c r="B728" s="42" t="s">
        <v>306</v>
      </c>
      <c r="C728" s="48" t="s">
        <v>29</v>
      </c>
      <c r="D728" s="41">
        <v>4.5199999999999996</v>
      </c>
      <c r="E728" s="39"/>
      <c r="F728" s="41">
        <f t="shared" si="93"/>
        <v>4.5199999999999996</v>
      </c>
      <c r="G728" s="41">
        <v>3.71</v>
      </c>
      <c r="H728" s="41"/>
      <c r="I728" s="39"/>
      <c r="J728" s="107">
        <f>F728-G728</f>
        <v>0.80999999999999961</v>
      </c>
      <c r="K728" s="42" t="s">
        <v>944</v>
      </c>
      <c r="L728" s="42" t="s">
        <v>81</v>
      </c>
      <c r="M728" s="48">
        <v>21</v>
      </c>
      <c r="N728" s="206">
        <v>560</v>
      </c>
      <c r="O728" s="48"/>
      <c r="P728" s="84"/>
      <c r="Q728" s="84"/>
      <c r="R728" s="84"/>
      <c r="S728" s="84"/>
      <c r="T728" s="84"/>
      <c r="U728" s="84"/>
      <c r="V728" s="84"/>
      <c r="W728" s="84"/>
      <c r="X728" s="84"/>
      <c r="Y728" s="84"/>
      <c r="Z728" s="84">
        <v>0.67</v>
      </c>
      <c r="AA728" s="84"/>
      <c r="AB728" s="84"/>
      <c r="AC728" s="84"/>
      <c r="AD728" s="84"/>
      <c r="AE728" s="84"/>
      <c r="AF728" s="84"/>
      <c r="AG728" s="84"/>
      <c r="AH728" s="84"/>
      <c r="AI728" s="84"/>
      <c r="AJ728" s="84"/>
      <c r="AK728" s="84"/>
      <c r="AL728" s="84"/>
      <c r="AM728" s="84"/>
      <c r="AN728" s="84"/>
      <c r="AO728" s="84"/>
      <c r="AP728" s="84"/>
      <c r="AQ728" s="84"/>
      <c r="AR728" s="84"/>
      <c r="AS728" s="84"/>
      <c r="AT728" s="84"/>
      <c r="AU728" s="84"/>
      <c r="AV728" s="84"/>
      <c r="AW728" s="84"/>
      <c r="AX728" s="84"/>
      <c r="AY728" s="84"/>
      <c r="AZ728" s="84"/>
      <c r="BA728" s="84"/>
      <c r="BB728" s="84"/>
      <c r="BC728" s="84"/>
      <c r="BD728" s="84"/>
      <c r="BE728" s="84">
        <v>0.14000000000000001</v>
      </c>
      <c r="BF728" s="84"/>
      <c r="BG728" s="84"/>
      <c r="BH728" s="84"/>
      <c r="BI728" s="84"/>
      <c r="BJ728" s="78">
        <f t="shared" si="89"/>
        <v>0</v>
      </c>
      <c r="BK728" s="84"/>
      <c r="BL728" s="44">
        <v>41</v>
      </c>
      <c r="BM728" s="79">
        <f t="shared" si="92"/>
        <v>0</v>
      </c>
      <c r="BN728" s="75"/>
      <c r="BO728" s="75"/>
    </row>
    <row r="729" spans="1:67" s="4" customFormat="1" ht="78" x14ac:dyDescent="0.3">
      <c r="A729" s="48">
        <v>14</v>
      </c>
      <c r="B729" s="42" t="s">
        <v>306</v>
      </c>
      <c r="C729" s="48" t="s">
        <v>29</v>
      </c>
      <c r="D729" s="41">
        <v>1.33</v>
      </c>
      <c r="E729" s="39"/>
      <c r="F729" s="41">
        <v>1.33</v>
      </c>
      <c r="G729" s="41"/>
      <c r="H729" s="41"/>
      <c r="I729" s="39"/>
      <c r="J729" s="107">
        <f>D729-G729</f>
        <v>1.33</v>
      </c>
      <c r="K729" s="42" t="s">
        <v>1056</v>
      </c>
      <c r="L729" s="42" t="s">
        <v>81</v>
      </c>
      <c r="M729" s="48">
        <v>24</v>
      </c>
      <c r="N729" s="206">
        <v>561</v>
      </c>
      <c r="O729" s="48"/>
      <c r="P729" s="84"/>
      <c r="Q729" s="84"/>
      <c r="R729" s="84"/>
      <c r="S729" s="84"/>
      <c r="T729" s="84"/>
      <c r="U729" s="84"/>
      <c r="V729" s="84"/>
      <c r="W729" s="84"/>
      <c r="X729" s="84"/>
      <c r="Y729" s="84"/>
      <c r="Z729" s="84"/>
      <c r="AA729" s="84"/>
      <c r="AB729" s="84">
        <v>0.35</v>
      </c>
      <c r="AC729" s="84"/>
      <c r="AD729" s="84"/>
      <c r="AE729" s="84"/>
      <c r="AF729" s="84"/>
      <c r="AG729" s="84"/>
      <c r="AH729" s="84"/>
      <c r="AI729" s="84"/>
      <c r="AJ729" s="84"/>
      <c r="AK729" s="84"/>
      <c r="AL729" s="84"/>
      <c r="AM729" s="84"/>
      <c r="AN729" s="84"/>
      <c r="AO729" s="84"/>
      <c r="AP729" s="84"/>
      <c r="AQ729" s="84"/>
      <c r="AR729" s="84"/>
      <c r="AS729" s="84"/>
      <c r="AT729" s="84"/>
      <c r="AU729" s="84"/>
      <c r="AV729" s="84"/>
      <c r="AW729" s="84"/>
      <c r="AX729" s="84"/>
      <c r="AY729" s="84"/>
      <c r="AZ729" s="84"/>
      <c r="BA729" s="84"/>
      <c r="BB729" s="84"/>
      <c r="BC729" s="84"/>
      <c r="BD729" s="84">
        <v>0.35</v>
      </c>
      <c r="BE729" s="84">
        <v>0.63</v>
      </c>
      <c r="BF729" s="84"/>
      <c r="BG729" s="84"/>
      <c r="BH729" s="84"/>
      <c r="BI729" s="84"/>
      <c r="BJ729" s="78">
        <f t="shared" si="89"/>
        <v>0</v>
      </c>
      <c r="BK729" s="84"/>
      <c r="BL729" s="44">
        <v>41</v>
      </c>
      <c r="BM729" s="79">
        <f t="shared" si="92"/>
        <v>0</v>
      </c>
      <c r="BN729" s="75"/>
      <c r="BO729" s="75"/>
    </row>
    <row r="730" spans="1:67" s="4" customFormat="1" ht="31.2" x14ac:dyDescent="0.3">
      <c r="A730" s="48">
        <v>15</v>
      </c>
      <c r="B730" s="42" t="s">
        <v>352</v>
      </c>
      <c r="C730" s="48" t="s">
        <v>29</v>
      </c>
      <c r="D730" s="41">
        <v>1</v>
      </c>
      <c r="E730" s="39"/>
      <c r="F730" s="41">
        <v>1</v>
      </c>
      <c r="G730" s="41"/>
      <c r="H730" s="41"/>
      <c r="I730" s="39"/>
      <c r="J730" s="107">
        <v>1</v>
      </c>
      <c r="K730" s="42" t="s">
        <v>711</v>
      </c>
      <c r="L730" s="42" t="s">
        <v>81</v>
      </c>
      <c r="M730" s="48" t="s">
        <v>672</v>
      </c>
      <c r="N730" s="206">
        <v>562</v>
      </c>
      <c r="O730" s="48"/>
      <c r="P730" s="84"/>
      <c r="Q730" s="84"/>
      <c r="R730" s="84"/>
      <c r="S730" s="84"/>
      <c r="T730" s="84"/>
      <c r="U730" s="84"/>
      <c r="V730" s="84"/>
      <c r="W730" s="84"/>
      <c r="X730" s="84"/>
      <c r="Y730" s="84"/>
      <c r="Z730" s="84"/>
      <c r="AA730" s="84"/>
      <c r="AB730" s="84">
        <v>1</v>
      </c>
      <c r="AC730" s="84"/>
      <c r="AD730" s="84"/>
      <c r="AE730" s="84"/>
      <c r="AF730" s="84"/>
      <c r="AG730" s="84"/>
      <c r="AH730" s="84"/>
      <c r="AI730" s="84"/>
      <c r="AJ730" s="84"/>
      <c r="AK730" s="84"/>
      <c r="AL730" s="84"/>
      <c r="AM730" s="84"/>
      <c r="AN730" s="84"/>
      <c r="AO730" s="84"/>
      <c r="AP730" s="84"/>
      <c r="AQ730" s="84"/>
      <c r="AR730" s="84"/>
      <c r="AS730" s="84"/>
      <c r="AT730" s="84"/>
      <c r="AU730" s="84"/>
      <c r="AV730" s="84"/>
      <c r="AW730" s="84"/>
      <c r="AX730" s="84"/>
      <c r="AY730" s="84"/>
      <c r="AZ730" s="84"/>
      <c r="BA730" s="84"/>
      <c r="BB730" s="84"/>
      <c r="BC730" s="84"/>
      <c r="BD730" s="84"/>
      <c r="BE730" s="84"/>
      <c r="BF730" s="84"/>
      <c r="BG730" s="84"/>
      <c r="BH730" s="84"/>
      <c r="BI730" s="84"/>
      <c r="BJ730" s="78">
        <f t="shared" si="89"/>
        <v>0</v>
      </c>
      <c r="BK730" s="84"/>
      <c r="BL730" s="44">
        <v>41</v>
      </c>
      <c r="BM730" s="79">
        <f t="shared" si="92"/>
        <v>0</v>
      </c>
      <c r="BN730" s="75"/>
      <c r="BO730" s="75"/>
    </row>
    <row r="731" spans="1:67" s="4" customFormat="1" x14ac:dyDescent="0.3">
      <c r="A731" s="48">
        <v>16</v>
      </c>
      <c r="B731" s="42" t="s">
        <v>306</v>
      </c>
      <c r="C731" s="48" t="s">
        <v>29</v>
      </c>
      <c r="D731" s="39">
        <v>26.1</v>
      </c>
      <c r="E731" s="39"/>
      <c r="F731" s="39">
        <v>26.1</v>
      </c>
      <c r="G731" s="41">
        <v>26.1</v>
      </c>
      <c r="H731" s="41"/>
      <c r="I731" s="39"/>
      <c r="J731" s="41"/>
      <c r="K731" s="42" t="s">
        <v>111</v>
      </c>
      <c r="L731" s="42" t="s">
        <v>91</v>
      </c>
      <c r="M731" s="48">
        <v>12</v>
      </c>
      <c r="N731" s="206">
        <v>563</v>
      </c>
      <c r="O731" s="48"/>
      <c r="P731" s="92"/>
      <c r="Q731" s="84"/>
      <c r="R731" s="84"/>
      <c r="S731" s="84"/>
      <c r="T731" s="84"/>
      <c r="U731" s="84"/>
      <c r="V731" s="84"/>
      <c r="W731" s="84"/>
      <c r="X731" s="84"/>
      <c r="Y731" s="84"/>
      <c r="Z731" s="84"/>
      <c r="AA731" s="84"/>
      <c r="AB731" s="84"/>
      <c r="AC731" s="84"/>
      <c r="AD731" s="84"/>
      <c r="AE731" s="84"/>
      <c r="AF731" s="84"/>
      <c r="AG731" s="84"/>
      <c r="AH731" s="84"/>
      <c r="AI731" s="84"/>
      <c r="AJ731" s="84"/>
      <c r="AK731" s="84"/>
      <c r="AL731" s="84"/>
      <c r="AM731" s="84"/>
      <c r="AN731" s="84"/>
      <c r="AO731" s="84"/>
      <c r="AP731" s="84"/>
      <c r="AQ731" s="84"/>
      <c r="AR731" s="84"/>
      <c r="AS731" s="84"/>
      <c r="AT731" s="84"/>
      <c r="AU731" s="84"/>
      <c r="AV731" s="84"/>
      <c r="AW731" s="84"/>
      <c r="AX731" s="84"/>
      <c r="AY731" s="84"/>
      <c r="AZ731" s="84"/>
      <c r="BA731" s="84"/>
      <c r="BB731" s="84"/>
      <c r="BC731" s="84"/>
      <c r="BD731" s="84"/>
      <c r="BE731" s="84"/>
      <c r="BF731" s="84"/>
      <c r="BG731" s="84"/>
      <c r="BH731" s="84"/>
      <c r="BI731" s="84"/>
      <c r="BJ731" s="78">
        <f t="shared" si="89"/>
        <v>0</v>
      </c>
      <c r="BK731" s="84"/>
      <c r="BL731" s="44">
        <v>41</v>
      </c>
      <c r="BM731" s="79">
        <f t="shared" si="92"/>
        <v>0</v>
      </c>
      <c r="BN731" s="75"/>
      <c r="BO731" s="75"/>
    </row>
    <row r="732" spans="1:67" s="4" customFormat="1" ht="31.2" x14ac:dyDescent="0.3">
      <c r="A732" s="48">
        <v>17</v>
      </c>
      <c r="B732" s="42" t="s">
        <v>885</v>
      </c>
      <c r="C732" s="48" t="s">
        <v>29</v>
      </c>
      <c r="D732" s="39">
        <v>1</v>
      </c>
      <c r="E732" s="39"/>
      <c r="F732" s="39">
        <v>1</v>
      </c>
      <c r="G732" s="41">
        <v>1</v>
      </c>
      <c r="H732" s="41"/>
      <c r="I732" s="39"/>
      <c r="J732" s="41"/>
      <c r="K732" s="94" t="s">
        <v>881</v>
      </c>
      <c r="L732" s="42" t="s">
        <v>91</v>
      </c>
      <c r="M732" s="48">
        <v>22</v>
      </c>
      <c r="N732" s="206">
        <v>564</v>
      </c>
      <c r="O732" s="48"/>
      <c r="P732" s="92"/>
      <c r="Q732" s="84"/>
      <c r="R732" s="84"/>
      <c r="S732" s="84"/>
      <c r="T732" s="84"/>
      <c r="U732" s="84"/>
      <c r="V732" s="84"/>
      <c r="W732" s="84"/>
      <c r="X732" s="84"/>
      <c r="Y732" s="84"/>
      <c r="Z732" s="84"/>
      <c r="AA732" s="84"/>
      <c r="AB732" s="84"/>
      <c r="AC732" s="84"/>
      <c r="AD732" s="84"/>
      <c r="AE732" s="84"/>
      <c r="AF732" s="84"/>
      <c r="AG732" s="84"/>
      <c r="AH732" s="84"/>
      <c r="AI732" s="84"/>
      <c r="AJ732" s="84"/>
      <c r="AK732" s="84"/>
      <c r="AL732" s="84"/>
      <c r="AM732" s="84"/>
      <c r="AN732" s="84"/>
      <c r="AO732" s="84"/>
      <c r="AP732" s="84"/>
      <c r="AQ732" s="84"/>
      <c r="AR732" s="84"/>
      <c r="AS732" s="84"/>
      <c r="AT732" s="84"/>
      <c r="AU732" s="84"/>
      <c r="AV732" s="84"/>
      <c r="AW732" s="84"/>
      <c r="AX732" s="84"/>
      <c r="AY732" s="84"/>
      <c r="AZ732" s="84"/>
      <c r="BA732" s="84"/>
      <c r="BB732" s="84"/>
      <c r="BC732" s="84"/>
      <c r="BD732" s="84"/>
      <c r="BE732" s="84"/>
      <c r="BF732" s="84"/>
      <c r="BG732" s="84"/>
      <c r="BH732" s="84"/>
      <c r="BI732" s="84"/>
      <c r="BJ732" s="78">
        <f t="shared" si="89"/>
        <v>0</v>
      </c>
      <c r="BK732" s="84"/>
      <c r="BL732" s="44"/>
      <c r="BM732" s="79">
        <f t="shared" si="92"/>
        <v>0</v>
      </c>
      <c r="BN732" s="75"/>
      <c r="BO732" s="75"/>
    </row>
    <row r="733" spans="1:67" s="4" customFormat="1" ht="31.2" x14ac:dyDescent="0.3">
      <c r="A733" s="48">
        <v>18</v>
      </c>
      <c r="B733" s="42" t="s">
        <v>886</v>
      </c>
      <c r="C733" s="48" t="s">
        <v>29</v>
      </c>
      <c r="D733" s="39">
        <v>0.6</v>
      </c>
      <c r="E733" s="39"/>
      <c r="F733" s="39">
        <v>0.6</v>
      </c>
      <c r="G733" s="41">
        <v>0.6</v>
      </c>
      <c r="H733" s="41"/>
      <c r="I733" s="39"/>
      <c r="J733" s="41"/>
      <c r="K733" s="94" t="s">
        <v>426</v>
      </c>
      <c r="L733" s="42" t="s">
        <v>91</v>
      </c>
      <c r="M733" s="48">
        <v>23</v>
      </c>
      <c r="N733" s="206">
        <v>565</v>
      </c>
      <c r="O733" s="48"/>
      <c r="P733" s="92"/>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733" s="84"/>
      <c r="AN733" s="84"/>
      <c r="AO733" s="84"/>
      <c r="AP733" s="84"/>
      <c r="AQ733" s="84"/>
      <c r="AR733" s="84"/>
      <c r="AS733" s="84"/>
      <c r="AT733" s="84"/>
      <c r="AU733" s="84"/>
      <c r="AV733" s="84"/>
      <c r="AW733" s="84"/>
      <c r="AX733" s="84"/>
      <c r="AY733" s="84"/>
      <c r="AZ733" s="84"/>
      <c r="BA733" s="84"/>
      <c r="BB733" s="84"/>
      <c r="BC733" s="84"/>
      <c r="BD733" s="84"/>
      <c r="BE733" s="84"/>
      <c r="BF733" s="84"/>
      <c r="BG733" s="84"/>
      <c r="BH733" s="84"/>
      <c r="BI733" s="84"/>
      <c r="BJ733" s="78">
        <f t="shared" si="89"/>
        <v>0</v>
      </c>
      <c r="BK733" s="84"/>
      <c r="BL733" s="44"/>
      <c r="BM733" s="79">
        <f t="shared" si="92"/>
        <v>0</v>
      </c>
      <c r="BN733" s="75"/>
      <c r="BO733" s="75"/>
    </row>
    <row r="734" spans="1:67" s="4" customFormat="1" ht="31.2" x14ac:dyDescent="0.3">
      <c r="A734" s="48">
        <v>19</v>
      </c>
      <c r="B734" s="42" t="s">
        <v>352</v>
      </c>
      <c r="C734" s="48" t="s">
        <v>29</v>
      </c>
      <c r="D734" s="39">
        <v>2.65</v>
      </c>
      <c r="E734" s="39"/>
      <c r="F734" s="39">
        <v>2.65</v>
      </c>
      <c r="G734" s="39">
        <v>0.43</v>
      </c>
      <c r="H734" s="40"/>
      <c r="I734" s="39"/>
      <c r="J734" s="39">
        <v>2.2200000000000002</v>
      </c>
      <c r="K734" s="92" t="s">
        <v>111</v>
      </c>
      <c r="L734" s="42" t="s">
        <v>91</v>
      </c>
      <c r="M734" s="48">
        <v>17</v>
      </c>
      <c r="N734" s="206">
        <v>566</v>
      </c>
      <c r="O734" s="48"/>
      <c r="P734" s="43"/>
      <c r="Q734" s="84"/>
      <c r="R734" s="84"/>
      <c r="S734" s="84"/>
      <c r="T734" s="84"/>
      <c r="U734" s="84"/>
      <c r="V734" s="84"/>
      <c r="W734" s="84"/>
      <c r="X734" s="84"/>
      <c r="Y734" s="84"/>
      <c r="Z734" s="84"/>
      <c r="AA734" s="84"/>
      <c r="AB734" s="84">
        <v>0.5</v>
      </c>
      <c r="AC734" s="84"/>
      <c r="AD734" s="84"/>
      <c r="AE734" s="84"/>
      <c r="AF734" s="84"/>
      <c r="AG734" s="84"/>
      <c r="AH734" s="84"/>
      <c r="AI734" s="84"/>
      <c r="AJ734" s="84"/>
      <c r="AK734" s="84"/>
      <c r="AL734" s="84"/>
      <c r="AM734" s="84"/>
      <c r="AN734" s="84"/>
      <c r="AO734" s="84"/>
      <c r="AP734" s="84"/>
      <c r="AQ734" s="84"/>
      <c r="AR734" s="84"/>
      <c r="AS734" s="84"/>
      <c r="AT734" s="84"/>
      <c r="AU734" s="84"/>
      <c r="AV734" s="84"/>
      <c r="AW734" s="84"/>
      <c r="AX734" s="84"/>
      <c r="AY734" s="84"/>
      <c r="AZ734" s="84"/>
      <c r="BA734" s="84"/>
      <c r="BB734" s="84"/>
      <c r="BC734" s="84"/>
      <c r="BD734" s="84"/>
      <c r="BE734" s="84">
        <f>2.22-0.5</f>
        <v>1.7200000000000002</v>
      </c>
      <c r="BF734" s="84"/>
      <c r="BG734" s="84"/>
      <c r="BH734" s="84"/>
      <c r="BI734" s="84"/>
      <c r="BJ734" s="78">
        <f t="shared" si="89"/>
        <v>0</v>
      </c>
      <c r="BK734" s="84"/>
      <c r="BL734" s="44">
        <v>41</v>
      </c>
      <c r="BM734" s="79">
        <f t="shared" si="92"/>
        <v>0</v>
      </c>
      <c r="BN734" s="75"/>
      <c r="BO734" s="75"/>
    </row>
    <row r="735" spans="1:67" s="4" customFormat="1" ht="78" x14ac:dyDescent="0.3">
      <c r="A735" s="48">
        <v>20</v>
      </c>
      <c r="B735" s="42" t="s">
        <v>306</v>
      </c>
      <c r="C735" s="43" t="s">
        <v>29</v>
      </c>
      <c r="D735" s="41">
        <f>11-1.83</f>
        <v>9.17</v>
      </c>
      <c r="E735" s="41"/>
      <c r="F735" s="41">
        <f>11-1.83</f>
        <v>9.17</v>
      </c>
      <c r="G735" s="41">
        <v>0.91</v>
      </c>
      <c r="H735" s="41"/>
      <c r="I735" s="39"/>
      <c r="J735" s="41">
        <f>10.82-0.73-1.83</f>
        <v>8.26</v>
      </c>
      <c r="K735" s="42" t="s">
        <v>1048</v>
      </c>
      <c r="L735" s="42" t="s">
        <v>93</v>
      </c>
      <c r="M735" s="43">
        <v>7</v>
      </c>
      <c r="N735" s="210">
        <v>567</v>
      </c>
      <c r="O735" s="42" t="s">
        <v>1198</v>
      </c>
      <c r="P735" s="43"/>
      <c r="Q735" s="84"/>
      <c r="R735" s="84"/>
      <c r="S735" s="84"/>
      <c r="T735" s="84"/>
      <c r="U735" s="84"/>
      <c r="V735" s="84"/>
      <c r="W735" s="84"/>
      <c r="X735" s="84">
        <v>0.8</v>
      </c>
      <c r="Y735" s="84"/>
      <c r="Z735" s="84">
        <f>4.25-0.73</f>
        <v>3.52</v>
      </c>
      <c r="AA735" s="84">
        <v>1.61</v>
      </c>
      <c r="AB735" s="84"/>
      <c r="AC735" s="84"/>
      <c r="AD735" s="84"/>
      <c r="AE735" s="84"/>
      <c r="AF735" s="84"/>
      <c r="AG735" s="84"/>
      <c r="AH735" s="84"/>
      <c r="AI735" s="84"/>
      <c r="AJ735" s="84"/>
      <c r="AK735" s="84"/>
      <c r="AL735" s="84"/>
      <c r="AM735" s="84"/>
      <c r="AN735" s="84"/>
      <c r="AO735" s="84"/>
      <c r="AP735" s="84"/>
      <c r="AQ735" s="84"/>
      <c r="AR735" s="84"/>
      <c r="AS735" s="84"/>
      <c r="AT735" s="84"/>
      <c r="AU735" s="84"/>
      <c r="AV735" s="84"/>
      <c r="AW735" s="84"/>
      <c r="AX735" s="84"/>
      <c r="AY735" s="84"/>
      <c r="AZ735" s="84"/>
      <c r="BA735" s="84"/>
      <c r="BB735" s="84"/>
      <c r="BC735" s="84"/>
      <c r="BD735" s="84"/>
      <c r="BE735" s="84">
        <f>4.16-1.83</f>
        <v>2.33</v>
      </c>
      <c r="BF735" s="84"/>
      <c r="BG735" s="84"/>
      <c r="BH735" s="84"/>
      <c r="BI735" s="84"/>
      <c r="BJ735" s="78">
        <f t="shared" si="89"/>
        <v>0</v>
      </c>
      <c r="BK735" s="84"/>
      <c r="BL735" s="44">
        <v>41</v>
      </c>
      <c r="BM735" s="79">
        <f t="shared" si="92"/>
        <v>0</v>
      </c>
      <c r="BN735" s="75"/>
      <c r="BO735" s="75"/>
    </row>
    <row r="736" spans="1:67" s="4" customFormat="1" ht="140.4" x14ac:dyDescent="0.3">
      <c r="A736" s="48">
        <v>21</v>
      </c>
      <c r="B736" s="42" t="s">
        <v>306</v>
      </c>
      <c r="C736" s="43" t="s">
        <v>29</v>
      </c>
      <c r="D736" s="41">
        <f>3.1+2.8+1.2+2.8+5.1+1.9</f>
        <v>16.899999999999999</v>
      </c>
      <c r="E736" s="41"/>
      <c r="F736" s="41">
        <f>3.1+2.8+1.2+2.8+5.1+1.9</f>
        <v>16.899999999999999</v>
      </c>
      <c r="G736" s="41">
        <v>15</v>
      </c>
      <c r="H736" s="41"/>
      <c r="I736" s="39"/>
      <c r="J736" s="41">
        <v>1.9</v>
      </c>
      <c r="K736" s="42" t="s">
        <v>1049</v>
      </c>
      <c r="L736" s="42" t="s">
        <v>93</v>
      </c>
      <c r="M736" s="43">
        <v>14</v>
      </c>
      <c r="N736" s="210">
        <v>568</v>
      </c>
      <c r="O736" s="43"/>
      <c r="P736" s="43"/>
      <c r="Q736" s="84"/>
      <c r="R736" s="84"/>
      <c r="S736" s="84"/>
      <c r="T736" s="84"/>
      <c r="U736" s="84"/>
      <c r="V736" s="84"/>
      <c r="W736" s="84"/>
      <c r="X736" s="84"/>
      <c r="Y736" s="84"/>
      <c r="Z736" s="84"/>
      <c r="AA736" s="84"/>
      <c r="AB736" s="84"/>
      <c r="AC736" s="84"/>
      <c r="AD736" s="84"/>
      <c r="AE736" s="84"/>
      <c r="AF736" s="84"/>
      <c r="AG736" s="84"/>
      <c r="AH736" s="84"/>
      <c r="AI736" s="84"/>
      <c r="AJ736" s="84"/>
      <c r="AK736" s="84"/>
      <c r="AL736" s="84"/>
      <c r="AM736" s="84"/>
      <c r="AN736" s="84"/>
      <c r="AO736" s="84"/>
      <c r="AP736" s="84"/>
      <c r="AQ736" s="84"/>
      <c r="AR736" s="84"/>
      <c r="AS736" s="84"/>
      <c r="AT736" s="84"/>
      <c r="AU736" s="84"/>
      <c r="AV736" s="84"/>
      <c r="AW736" s="84"/>
      <c r="AX736" s="84"/>
      <c r="AY736" s="84"/>
      <c r="AZ736" s="84"/>
      <c r="BA736" s="84"/>
      <c r="BB736" s="84"/>
      <c r="BC736" s="84"/>
      <c r="BD736" s="84"/>
      <c r="BE736" s="84">
        <v>1.9</v>
      </c>
      <c r="BF736" s="84"/>
      <c r="BG736" s="84"/>
      <c r="BH736" s="84"/>
      <c r="BI736" s="84"/>
      <c r="BJ736" s="78">
        <f t="shared" si="89"/>
        <v>0</v>
      </c>
      <c r="BK736" s="84"/>
      <c r="BL736" s="44">
        <v>41</v>
      </c>
      <c r="BM736" s="79">
        <f t="shared" si="92"/>
        <v>0</v>
      </c>
      <c r="BN736" s="75"/>
      <c r="BO736" s="75"/>
    </row>
    <row r="737" spans="1:67" s="4" customFormat="1" ht="31.2" x14ac:dyDescent="0.3">
      <c r="A737" s="48">
        <v>22</v>
      </c>
      <c r="B737" s="42" t="s">
        <v>306</v>
      </c>
      <c r="C737" s="43" t="s">
        <v>29</v>
      </c>
      <c r="D737" s="41">
        <v>5</v>
      </c>
      <c r="E737" s="41"/>
      <c r="F737" s="41">
        <v>5</v>
      </c>
      <c r="G737" s="41">
        <v>0</v>
      </c>
      <c r="H737" s="41"/>
      <c r="I737" s="39"/>
      <c r="J737" s="41">
        <v>5</v>
      </c>
      <c r="K737" s="42" t="s">
        <v>1050</v>
      </c>
      <c r="L737" s="42" t="s">
        <v>93</v>
      </c>
      <c r="M737" s="43">
        <v>15</v>
      </c>
      <c r="N737" s="210">
        <v>569</v>
      </c>
      <c r="O737" s="43"/>
      <c r="P737" s="43"/>
      <c r="Q737" s="84"/>
      <c r="R737" s="84"/>
      <c r="S737" s="84"/>
      <c r="T737" s="84"/>
      <c r="U737" s="84"/>
      <c r="V737" s="84"/>
      <c r="W737" s="84"/>
      <c r="X737" s="84"/>
      <c r="Y737" s="84"/>
      <c r="Z737" s="84"/>
      <c r="AA737" s="84"/>
      <c r="AB737" s="84"/>
      <c r="AC737" s="84"/>
      <c r="AD737" s="84"/>
      <c r="AE737" s="84"/>
      <c r="AF737" s="84"/>
      <c r="AG737" s="84"/>
      <c r="AH737" s="84"/>
      <c r="AI737" s="84"/>
      <c r="AJ737" s="84"/>
      <c r="AK737" s="84"/>
      <c r="AL737" s="84"/>
      <c r="AM737" s="84"/>
      <c r="AN737" s="84"/>
      <c r="AO737" s="84"/>
      <c r="AP737" s="84"/>
      <c r="AQ737" s="84"/>
      <c r="AR737" s="84"/>
      <c r="AS737" s="84"/>
      <c r="AT737" s="84"/>
      <c r="AU737" s="84"/>
      <c r="AV737" s="84"/>
      <c r="AW737" s="84"/>
      <c r="AX737" s="84"/>
      <c r="AY737" s="84"/>
      <c r="AZ737" s="84"/>
      <c r="BA737" s="84"/>
      <c r="BB737" s="84"/>
      <c r="BC737" s="84"/>
      <c r="BD737" s="84"/>
      <c r="BE737" s="84">
        <v>5</v>
      </c>
      <c r="BF737" s="84"/>
      <c r="BG737" s="84"/>
      <c r="BH737" s="84"/>
      <c r="BI737" s="84"/>
      <c r="BJ737" s="78">
        <f t="shared" si="89"/>
        <v>0</v>
      </c>
      <c r="BK737" s="84"/>
      <c r="BL737" s="44">
        <v>41</v>
      </c>
      <c r="BM737" s="79">
        <f t="shared" si="92"/>
        <v>0</v>
      </c>
      <c r="BN737" s="75"/>
      <c r="BO737" s="75"/>
    </row>
    <row r="738" spans="1:67" s="4" customFormat="1" ht="31.2" x14ac:dyDescent="0.3">
      <c r="A738" s="48">
        <v>23</v>
      </c>
      <c r="B738" s="42" t="s">
        <v>306</v>
      </c>
      <c r="C738" s="43" t="s">
        <v>29</v>
      </c>
      <c r="D738" s="41">
        <v>2.0499999999999998</v>
      </c>
      <c r="E738" s="41"/>
      <c r="F738" s="41">
        <v>2.0499999999999998</v>
      </c>
      <c r="G738" s="41">
        <v>0</v>
      </c>
      <c r="H738" s="41"/>
      <c r="I738" s="39"/>
      <c r="J738" s="41">
        <v>2.0499999999999998</v>
      </c>
      <c r="K738" s="42" t="s">
        <v>890</v>
      </c>
      <c r="L738" s="42" t="s">
        <v>93</v>
      </c>
      <c r="M738" s="43">
        <v>17</v>
      </c>
      <c r="N738" s="210">
        <v>570</v>
      </c>
      <c r="O738" s="43"/>
      <c r="P738" s="43"/>
      <c r="Q738" s="84"/>
      <c r="R738" s="84"/>
      <c r="S738" s="84"/>
      <c r="T738" s="84"/>
      <c r="U738" s="84"/>
      <c r="V738" s="84"/>
      <c r="W738" s="84"/>
      <c r="X738" s="84"/>
      <c r="Y738" s="84"/>
      <c r="Z738" s="84"/>
      <c r="AA738" s="84"/>
      <c r="AB738" s="84"/>
      <c r="AC738" s="84"/>
      <c r="AD738" s="84"/>
      <c r="AE738" s="84"/>
      <c r="AF738" s="84"/>
      <c r="AG738" s="84"/>
      <c r="AH738" s="84"/>
      <c r="AI738" s="84"/>
      <c r="AJ738" s="84"/>
      <c r="AK738" s="84"/>
      <c r="AL738" s="84"/>
      <c r="AM738" s="84"/>
      <c r="AN738" s="84"/>
      <c r="AO738" s="84"/>
      <c r="AP738" s="84"/>
      <c r="AQ738" s="84"/>
      <c r="AR738" s="84"/>
      <c r="AS738" s="84"/>
      <c r="AT738" s="84"/>
      <c r="AU738" s="84"/>
      <c r="AV738" s="84"/>
      <c r="AW738" s="84"/>
      <c r="AX738" s="84"/>
      <c r="AY738" s="84"/>
      <c r="AZ738" s="84"/>
      <c r="BA738" s="84"/>
      <c r="BB738" s="84"/>
      <c r="BC738" s="84"/>
      <c r="BD738" s="84"/>
      <c r="BE738" s="84">
        <v>2.0499999999999998</v>
      </c>
      <c r="BF738" s="84"/>
      <c r="BG738" s="84"/>
      <c r="BH738" s="84"/>
      <c r="BI738" s="84"/>
      <c r="BJ738" s="78">
        <f t="shared" si="89"/>
        <v>0</v>
      </c>
      <c r="BK738" s="84"/>
      <c r="BL738" s="44">
        <v>41</v>
      </c>
      <c r="BM738" s="79">
        <f t="shared" si="92"/>
        <v>0</v>
      </c>
      <c r="BN738" s="75"/>
      <c r="BO738" s="75"/>
    </row>
    <row r="739" spans="1:67" s="4" customFormat="1" ht="46.8" x14ac:dyDescent="0.3">
      <c r="A739" s="48">
        <v>24</v>
      </c>
      <c r="B739" s="42" t="s">
        <v>306</v>
      </c>
      <c r="C739" s="48" t="s">
        <v>29</v>
      </c>
      <c r="D739" s="39">
        <f>0.78+1.26+3.6</f>
        <v>5.6400000000000006</v>
      </c>
      <c r="E739" s="39"/>
      <c r="F739" s="39">
        <f>0.78+1.26+3.6</f>
        <v>5.6400000000000006</v>
      </c>
      <c r="G739" s="39">
        <f>0.78+1.26+3.6</f>
        <v>5.6400000000000006</v>
      </c>
      <c r="H739" s="41"/>
      <c r="I739" s="39"/>
      <c r="J739" s="39"/>
      <c r="K739" s="42" t="s">
        <v>891</v>
      </c>
      <c r="L739" s="42" t="s">
        <v>93</v>
      </c>
      <c r="M739" s="48">
        <v>21</v>
      </c>
      <c r="N739" s="206">
        <v>571</v>
      </c>
      <c r="O739" s="48"/>
      <c r="P739" s="48"/>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739" s="84"/>
      <c r="AN739" s="84"/>
      <c r="AO739" s="84"/>
      <c r="AP739" s="84"/>
      <c r="AQ739" s="84"/>
      <c r="AR739" s="84"/>
      <c r="AS739" s="84"/>
      <c r="AT739" s="84"/>
      <c r="AU739" s="84"/>
      <c r="AV739" s="84"/>
      <c r="AW739" s="84"/>
      <c r="AX739" s="84"/>
      <c r="AY739" s="84"/>
      <c r="AZ739" s="84"/>
      <c r="BA739" s="84"/>
      <c r="BB739" s="84"/>
      <c r="BC739" s="84"/>
      <c r="BD739" s="84"/>
      <c r="BE739" s="84"/>
      <c r="BF739" s="84"/>
      <c r="BG739" s="84"/>
      <c r="BH739" s="84"/>
      <c r="BI739" s="84"/>
      <c r="BJ739" s="78">
        <f t="shared" si="89"/>
        <v>0</v>
      </c>
      <c r="BK739" s="84"/>
      <c r="BL739" s="44">
        <v>41</v>
      </c>
      <c r="BM739" s="79">
        <f t="shared" si="92"/>
        <v>0</v>
      </c>
      <c r="BN739" s="75"/>
      <c r="BO739" s="75"/>
    </row>
    <row r="740" spans="1:67" s="4" customFormat="1" ht="78" x14ac:dyDescent="0.3">
      <c r="A740" s="48">
        <v>25</v>
      </c>
      <c r="B740" s="42" t="s">
        <v>306</v>
      </c>
      <c r="C740" s="48" t="s">
        <v>29</v>
      </c>
      <c r="D740" s="39">
        <f>2.9+1.5-2.42</f>
        <v>1.9800000000000004</v>
      </c>
      <c r="E740" s="39"/>
      <c r="F740" s="39">
        <f>2.9+1.5-2.42</f>
        <v>1.9800000000000004</v>
      </c>
      <c r="G740" s="39"/>
      <c r="H740" s="40"/>
      <c r="I740" s="39"/>
      <c r="J740" s="39">
        <f>2.9+1.5-2.42</f>
        <v>1.9800000000000004</v>
      </c>
      <c r="K740" s="42" t="s">
        <v>892</v>
      </c>
      <c r="L740" s="42" t="s">
        <v>93</v>
      </c>
      <c r="M740" s="48">
        <v>25</v>
      </c>
      <c r="N740" s="206">
        <v>572</v>
      </c>
      <c r="O740" s="42" t="s">
        <v>1199</v>
      </c>
      <c r="P740" s="48"/>
      <c r="Q740" s="84"/>
      <c r="R740" s="84"/>
      <c r="S740" s="84"/>
      <c r="T740" s="84"/>
      <c r="U740" s="84"/>
      <c r="V740" s="84"/>
      <c r="W740" s="84"/>
      <c r="X740" s="84"/>
      <c r="Y740" s="84"/>
      <c r="Z740" s="84">
        <f>1.5-0.6</f>
        <v>0.9</v>
      </c>
      <c r="AA740" s="84"/>
      <c r="AB740" s="84"/>
      <c r="AC740" s="84"/>
      <c r="AD740" s="84"/>
      <c r="AE740" s="84"/>
      <c r="AF740" s="84"/>
      <c r="AG740" s="84"/>
      <c r="AH740" s="84"/>
      <c r="AI740" s="84"/>
      <c r="AJ740" s="84"/>
      <c r="AK740" s="84"/>
      <c r="AL740" s="84"/>
      <c r="AM740" s="84"/>
      <c r="AN740" s="84"/>
      <c r="AO740" s="84"/>
      <c r="AP740" s="84"/>
      <c r="AQ740" s="84"/>
      <c r="AR740" s="84"/>
      <c r="AS740" s="84"/>
      <c r="AT740" s="84"/>
      <c r="AU740" s="84"/>
      <c r="AV740" s="84"/>
      <c r="AW740" s="84"/>
      <c r="AX740" s="84"/>
      <c r="AY740" s="84"/>
      <c r="AZ740" s="84"/>
      <c r="BA740" s="84"/>
      <c r="BB740" s="84"/>
      <c r="BC740" s="84"/>
      <c r="BD740" s="84"/>
      <c r="BE740" s="84">
        <f>2.9-1.82</f>
        <v>1.0799999999999998</v>
      </c>
      <c r="BF740" s="84"/>
      <c r="BG740" s="84"/>
      <c r="BH740" s="84"/>
      <c r="BI740" s="84"/>
      <c r="BJ740" s="78">
        <f t="shared" si="89"/>
        <v>0</v>
      </c>
      <c r="BK740" s="84"/>
      <c r="BL740" s="44">
        <v>41</v>
      </c>
      <c r="BM740" s="79">
        <f t="shared" si="92"/>
        <v>0</v>
      </c>
      <c r="BN740" s="75"/>
      <c r="BO740" s="75"/>
    </row>
    <row r="741" spans="1:67" s="4" customFormat="1" x14ac:dyDescent="0.3">
      <c r="A741" s="48">
        <v>26</v>
      </c>
      <c r="B741" s="50" t="s">
        <v>557</v>
      </c>
      <c r="C741" s="39" t="s">
        <v>29</v>
      </c>
      <c r="D741" s="41">
        <v>9</v>
      </c>
      <c r="E741" s="41"/>
      <c r="F741" s="41">
        <v>9</v>
      </c>
      <c r="G741" s="39"/>
      <c r="H741" s="39"/>
      <c r="I741" s="39"/>
      <c r="J741" s="39">
        <f t="shared" ref="J741:J754" si="94">SUM(Q741:BG741)</f>
        <v>9</v>
      </c>
      <c r="K741" s="50" t="s">
        <v>101</v>
      </c>
      <c r="L741" s="50" t="s">
        <v>102</v>
      </c>
      <c r="M741" s="110">
        <v>3</v>
      </c>
      <c r="N741" s="211">
        <v>573</v>
      </c>
      <c r="O741" s="110"/>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c r="BC741" s="39"/>
      <c r="BD741" s="39"/>
      <c r="BE741" s="39">
        <v>9</v>
      </c>
      <c r="BF741" s="39"/>
      <c r="BG741" s="39"/>
      <c r="BH741" s="39"/>
      <c r="BI741" s="39"/>
      <c r="BJ741" s="78">
        <f t="shared" si="89"/>
        <v>0</v>
      </c>
      <c r="BK741" s="39"/>
      <c r="BL741" s="44">
        <v>41</v>
      </c>
      <c r="BM741" s="79">
        <f t="shared" si="92"/>
        <v>0</v>
      </c>
      <c r="BN741" s="75"/>
      <c r="BO741" s="75"/>
    </row>
    <row r="742" spans="1:67" s="4" customFormat="1" ht="62.4" x14ac:dyDescent="0.3">
      <c r="A742" s="48">
        <v>27</v>
      </c>
      <c r="B742" s="50" t="s">
        <v>558</v>
      </c>
      <c r="C742" s="39" t="s">
        <v>29</v>
      </c>
      <c r="D742" s="41">
        <v>2.2999999999999998</v>
      </c>
      <c r="E742" s="41"/>
      <c r="F742" s="41">
        <v>2.2999999999999998</v>
      </c>
      <c r="G742" s="39">
        <v>0.8</v>
      </c>
      <c r="H742" s="39"/>
      <c r="I742" s="39"/>
      <c r="J742" s="39">
        <f t="shared" si="94"/>
        <v>1.5</v>
      </c>
      <c r="K742" s="50" t="s">
        <v>104</v>
      </c>
      <c r="L742" s="50" t="s">
        <v>102</v>
      </c>
      <c r="M742" s="110" t="s">
        <v>103</v>
      </c>
      <c r="N742" s="211">
        <v>574</v>
      </c>
      <c r="O742" s="110"/>
      <c r="P742" s="39"/>
      <c r="Q742" s="39"/>
      <c r="R742" s="39"/>
      <c r="S742" s="39"/>
      <c r="T742" s="39"/>
      <c r="U742" s="39"/>
      <c r="V742" s="39"/>
      <c r="W742" s="39"/>
      <c r="X742" s="39"/>
      <c r="Y742" s="39"/>
      <c r="Z742" s="39">
        <v>0.7</v>
      </c>
      <c r="AA742" s="39"/>
      <c r="AB742" s="39"/>
      <c r="AC742" s="39"/>
      <c r="AD742" s="39"/>
      <c r="AE742" s="39"/>
      <c r="AF742" s="39"/>
      <c r="AG742" s="39"/>
      <c r="AH742" s="39"/>
      <c r="AI742" s="39"/>
      <c r="AJ742" s="39"/>
      <c r="AK742" s="39"/>
      <c r="AL742" s="39"/>
      <c r="AM742" s="39"/>
      <c r="AN742" s="39"/>
      <c r="AO742" s="39">
        <v>0.4</v>
      </c>
      <c r="AP742" s="39"/>
      <c r="AQ742" s="39"/>
      <c r="AR742" s="39"/>
      <c r="AS742" s="39"/>
      <c r="AT742" s="39"/>
      <c r="AU742" s="39"/>
      <c r="AV742" s="39"/>
      <c r="AW742" s="39"/>
      <c r="AX742" s="39"/>
      <c r="AY742" s="39"/>
      <c r="AZ742" s="39"/>
      <c r="BA742" s="39"/>
      <c r="BB742" s="39"/>
      <c r="BC742" s="39"/>
      <c r="BD742" s="39"/>
      <c r="BE742" s="39">
        <v>0.4</v>
      </c>
      <c r="BF742" s="39"/>
      <c r="BG742" s="39"/>
      <c r="BH742" s="39"/>
      <c r="BI742" s="39"/>
      <c r="BJ742" s="78">
        <f t="shared" si="89"/>
        <v>0</v>
      </c>
      <c r="BK742" s="39"/>
      <c r="BL742" s="44">
        <v>41</v>
      </c>
      <c r="BM742" s="79">
        <f t="shared" si="92"/>
        <v>0</v>
      </c>
      <c r="BN742" s="75"/>
      <c r="BO742" s="75"/>
    </row>
    <row r="743" spans="1:67" s="4" customFormat="1" ht="31.2" x14ac:dyDescent="0.3">
      <c r="A743" s="48">
        <v>28</v>
      </c>
      <c r="B743" s="50" t="s">
        <v>559</v>
      </c>
      <c r="C743" s="39" t="s">
        <v>29</v>
      </c>
      <c r="D743" s="41">
        <v>2.2000000000000002</v>
      </c>
      <c r="E743" s="41"/>
      <c r="F743" s="41">
        <v>2.2000000000000002</v>
      </c>
      <c r="G743" s="39">
        <v>0.5</v>
      </c>
      <c r="H743" s="39"/>
      <c r="I743" s="39"/>
      <c r="J743" s="39">
        <f t="shared" si="94"/>
        <v>1.7</v>
      </c>
      <c r="K743" s="50" t="s">
        <v>105</v>
      </c>
      <c r="L743" s="50" t="s">
        <v>102</v>
      </c>
      <c r="M743" s="110">
        <v>5</v>
      </c>
      <c r="N743" s="211">
        <v>575</v>
      </c>
      <c r="O743" s="110"/>
      <c r="P743" s="39"/>
      <c r="Q743" s="39"/>
      <c r="R743" s="39"/>
      <c r="S743" s="39"/>
      <c r="T743" s="39"/>
      <c r="U743" s="39"/>
      <c r="V743" s="39"/>
      <c r="W743" s="39"/>
      <c r="X743" s="39"/>
      <c r="Y743" s="39"/>
      <c r="Z743" s="39">
        <v>1.7</v>
      </c>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c r="BC743" s="39"/>
      <c r="BD743" s="39"/>
      <c r="BE743" s="39"/>
      <c r="BF743" s="39"/>
      <c r="BG743" s="39"/>
      <c r="BH743" s="39"/>
      <c r="BI743" s="39"/>
      <c r="BJ743" s="78">
        <f t="shared" si="89"/>
        <v>0</v>
      </c>
      <c r="BK743" s="39"/>
      <c r="BL743" s="44">
        <v>41</v>
      </c>
      <c r="BM743" s="79">
        <f t="shared" si="92"/>
        <v>0</v>
      </c>
      <c r="BN743" s="75"/>
      <c r="BO743" s="75"/>
    </row>
    <row r="744" spans="1:67" s="4" customFormat="1" ht="31.2" x14ac:dyDescent="0.3">
      <c r="A744" s="48">
        <v>29</v>
      </c>
      <c r="B744" s="50" t="s">
        <v>560</v>
      </c>
      <c r="C744" s="39" t="s">
        <v>29</v>
      </c>
      <c r="D744" s="41">
        <v>1.3</v>
      </c>
      <c r="E744" s="41"/>
      <c r="F744" s="41">
        <v>1.3</v>
      </c>
      <c r="G744" s="39">
        <v>1.3</v>
      </c>
      <c r="H744" s="39"/>
      <c r="I744" s="39"/>
      <c r="J744" s="39">
        <f t="shared" si="94"/>
        <v>0</v>
      </c>
      <c r="K744" s="50" t="s">
        <v>106</v>
      </c>
      <c r="L744" s="50" t="s">
        <v>102</v>
      </c>
      <c r="M744" s="110">
        <v>6</v>
      </c>
      <c r="N744" s="211">
        <v>576</v>
      </c>
      <c r="O744" s="110"/>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39"/>
      <c r="BC744" s="39"/>
      <c r="BD744" s="39"/>
      <c r="BE744" s="39"/>
      <c r="BF744" s="39"/>
      <c r="BG744" s="39"/>
      <c r="BH744" s="39"/>
      <c r="BI744" s="39"/>
      <c r="BJ744" s="78">
        <f t="shared" si="89"/>
        <v>0</v>
      </c>
      <c r="BK744" s="39"/>
      <c r="BL744" s="44">
        <v>41</v>
      </c>
      <c r="BM744" s="79">
        <f t="shared" si="92"/>
        <v>0</v>
      </c>
      <c r="BN744" s="75"/>
      <c r="BO744" s="75"/>
    </row>
    <row r="745" spans="1:67" s="4" customFormat="1" ht="31.2" x14ac:dyDescent="0.3">
      <c r="A745" s="48">
        <v>30</v>
      </c>
      <c r="B745" s="50" t="s">
        <v>561</v>
      </c>
      <c r="C745" s="39" t="s">
        <v>29</v>
      </c>
      <c r="D745" s="41">
        <v>0.7</v>
      </c>
      <c r="E745" s="41"/>
      <c r="F745" s="41">
        <v>0.7</v>
      </c>
      <c r="G745" s="39">
        <v>0.7</v>
      </c>
      <c r="H745" s="39"/>
      <c r="I745" s="39"/>
      <c r="J745" s="39">
        <f t="shared" si="94"/>
        <v>0</v>
      </c>
      <c r="K745" s="50" t="s">
        <v>107</v>
      </c>
      <c r="L745" s="50" t="s">
        <v>102</v>
      </c>
      <c r="M745" s="110">
        <v>7</v>
      </c>
      <c r="N745" s="211">
        <v>577</v>
      </c>
      <c r="O745" s="110"/>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c r="BC745" s="39"/>
      <c r="BD745" s="39"/>
      <c r="BE745" s="39"/>
      <c r="BF745" s="39"/>
      <c r="BG745" s="39"/>
      <c r="BH745" s="39"/>
      <c r="BI745" s="39"/>
      <c r="BJ745" s="78">
        <f t="shared" si="89"/>
        <v>0</v>
      </c>
      <c r="BK745" s="39"/>
      <c r="BL745" s="44">
        <v>41</v>
      </c>
      <c r="BM745" s="79">
        <f t="shared" si="92"/>
        <v>0</v>
      </c>
      <c r="BN745" s="75"/>
      <c r="BO745" s="75"/>
    </row>
    <row r="746" spans="1:67" s="4" customFormat="1" ht="46.8" x14ac:dyDescent="0.3">
      <c r="A746" s="48">
        <v>31</v>
      </c>
      <c r="B746" s="50" t="s">
        <v>562</v>
      </c>
      <c r="C746" s="39" t="s">
        <v>29</v>
      </c>
      <c r="D746" s="41">
        <v>2.4</v>
      </c>
      <c r="E746" s="41"/>
      <c r="F746" s="41">
        <v>2.4</v>
      </c>
      <c r="G746" s="39">
        <v>0.7</v>
      </c>
      <c r="H746" s="39"/>
      <c r="I746" s="39"/>
      <c r="J746" s="39">
        <f t="shared" si="94"/>
        <v>1.7</v>
      </c>
      <c r="K746" s="50" t="s">
        <v>109</v>
      </c>
      <c r="L746" s="50" t="s">
        <v>102</v>
      </c>
      <c r="M746" s="110" t="s">
        <v>108</v>
      </c>
      <c r="N746" s="211">
        <v>578</v>
      </c>
      <c r="O746" s="110"/>
      <c r="P746" s="39"/>
      <c r="Q746" s="39"/>
      <c r="R746" s="39"/>
      <c r="S746" s="39"/>
      <c r="T746" s="39"/>
      <c r="U746" s="39"/>
      <c r="V746" s="39"/>
      <c r="W746" s="39"/>
      <c r="X746" s="39"/>
      <c r="Y746" s="39"/>
      <c r="Z746" s="39">
        <v>1.7</v>
      </c>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39"/>
      <c r="BD746" s="39"/>
      <c r="BE746" s="39"/>
      <c r="BF746" s="39"/>
      <c r="BG746" s="39"/>
      <c r="BH746" s="39"/>
      <c r="BI746" s="39"/>
      <c r="BJ746" s="78">
        <f t="shared" si="89"/>
        <v>0</v>
      </c>
      <c r="BK746" s="39"/>
      <c r="BL746" s="44">
        <v>41</v>
      </c>
      <c r="BM746" s="79">
        <f t="shared" si="92"/>
        <v>0</v>
      </c>
      <c r="BN746" s="75"/>
      <c r="BO746" s="75"/>
    </row>
    <row r="747" spans="1:67" s="4" customFormat="1" ht="32.25" customHeight="1" x14ac:dyDescent="0.3">
      <c r="A747" s="48">
        <v>32</v>
      </c>
      <c r="B747" s="50" t="s">
        <v>767</v>
      </c>
      <c r="C747" s="39" t="s">
        <v>29</v>
      </c>
      <c r="D747" s="41">
        <v>0.7</v>
      </c>
      <c r="E747" s="41"/>
      <c r="F747" s="41">
        <v>0.7</v>
      </c>
      <c r="G747" s="39"/>
      <c r="H747" s="39"/>
      <c r="I747" s="39"/>
      <c r="J747" s="39">
        <f t="shared" si="94"/>
        <v>0.7</v>
      </c>
      <c r="K747" s="50" t="s">
        <v>768</v>
      </c>
      <c r="L747" s="50" t="s">
        <v>102</v>
      </c>
      <c r="M747" s="110">
        <v>9</v>
      </c>
      <c r="N747" s="211">
        <v>579</v>
      </c>
      <c r="O747" s="110"/>
      <c r="P747" s="39"/>
      <c r="Q747" s="39"/>
      <c r="R747" s="39"/>
      <c r="S747" s="39"/>
      <c r="T747" s="39"/>
      <c r="U747" s="39"/>
      <c r="V747" s="39"/>
      <c r="W747" s="39"/>
      <c r="X747" s="39"/>
      <c r="Y747" s="39"/>
      <c r="Z747" s="39">
        <v>0.7</v>
      </c>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c r="BC747" s="39"/>
      <c r="BD747" s="39"/>
      <c r="BE747" s="39"/>
      <c r="BF747" s="39"/>
      <c r="BG747" s="39"/>
      <c r="BH747" s="39"/>
      <c r="BI747" s="39"/>
      <c r="BJ747" s="78">
        <f t="shared" ref="BJ747:BJ811" si="95">D747-E747-F747</f>
        <v>0</v>
      </c>
      <c r="BK747" s="39"/>
      <c r="BL747" s="44">
        <v>41</v>
      </c>
      <c r="BM747" s="79">
        <f t="shared" si="92"/>
        <v>0</v>
      </c>
      <c r="BN747" s="75"/>
      <c r="BO747" s="75"/>
    </row>
    <row r="748" spans="1:67" s="4" customFormat="1" ht="62.4" x14ac:dyDescent="0.3">
      <c r="A748" s="48">
        <v>33</v>
      </c>
      <c r="B748" s="50" t="s">
        <v>563</v>
      </c>
      <c r="C748" s="39" t="s">
        <v>29</v>
      </c>
      <c r="D748" s="41">
        <v>3.2</v>
      </c>
      <c r="E748" s="41"/>
      <c r="F748" s="41">
        <v>3.2</v>
      </c>
      <c r="G748" s="39">
        <v>0.8</v>
      </c>
      <c r="H748" s="39"/>
      <c r="I748" s="39"/>
      <c r="J748" s="39">
        <f t="shared" si="94"/>
        <v>2.4000000000000004</v>
      </c>
      <c r="K748" s="50" t="s">
        <v>101</v>
      </c>
      <c r="L748" s="50" t="s">
        <v>102</v>
      </c>
      <c r="M748" s="110" t="s">
        <v>110</v>
      </c>
      <c r="N748" s="211">
        <v>580</v>
      </c>
      <c r="O748" s="110"/>
      <c r="P748" s="39"/>
      <c r="Q748" s="39"/>
      <c r="R748" s="39"/>
      <c r="S748" s="39"/>
      <c r="T748" s="39"/>
      <c r="U748" s="39"/>
      <c r="V748" s="39"/>
      <c r="W748" s="39"/>
      <c r="X748" s="39"/>
      <c r="Y748" s="39"/>
      <c r="Z748" s="39">
        <v>2.2000000000000002</v>
      </c>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39"/>
      <c r="BC748" s="39"/>
      <c r="BD748" s="39"/>
      <c r="BE748" s="39">
        <v>0.2</v>
      </c>
      <c r="BF748" s="39"/>
      <c r="BG748" s="39"/>
      <c r="BH748" s="39"/>
      <c r="BI748" s="39"/>
      <c r="BJ748" s="78">
        <f t="shared" si="95"/>
        <v>0</v>
      </c>
      <c r="BK748" s="39"/>
      <c r="BL748" s="44">
        <v>41</v>
      </c>
      <c r="BM748" s="79">
        <f t="shared" si="92"/>
        <v>0</v>
      </c>
      <c r="BN748" s="75"/>
      <c r="BO748" s="75"/>
    </row>
    <row r="749" spans="1:67" s="4" customFormat="1" ht="31.2" x14ac:dyDescent="0.3">
      <c r="A749" s="48">
        <v>34</v>
      </c>
      <c r="B749" s="50" t="s">
        <v>748</v>
      </c>
      <c r="C749" s="39" t="s">
        <v>29</v>
      </c>
      <c r="D749" s="41">
        <v>0.2</v>
      </c>
      <c r="E749" s="41"/>
      <c r="F749" s="41">
        <v>0.2</v>
      </c>
      <c r="G749" s="39">
        <v>0</v>
      </c>
      <c r="H749" s="39"/>
      <c r="I749" s="39"/>
      <c r="J749" s="39">
        <f t="shared" si="94"/>
        <v>0.2</v>
      </c>
      <c r="K749" s="50" t="s">
        <v>111</v>
      </c>
      <c r="L749" s="50" t="s">
        <v>102</v>
      </c>
      <c r="M749" s="110">
        <v>302</v>
      </c>
      <c r="N749" s="211">
        <v>581</v>
      </c>
      <c r="O749" s="110"/>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v>0.2</v>
      </c>
      <c r="AX749" s="39"/>
      <c r="AY749" s="39"/>
      <c r="AZ749" s="39"/>
      <c r="BA749" s="39"/>
      <c r="BB749" s="39"/>
      <c r="BC749" s="39"/>
      <c r="BD749" s="39"/>
      <c r="BE749" s="39"/>
      <c r="BF749" s="39"/>
      <c r="BG749" s="39"/>
      <c r="BH749" s="39"/>
      <c r="BI749" s="39"/>
      <c r="BJ749" s="78">
        <f t="shared" si="95"/>
        <v>0</v>
      </c>
      <c r="BK749" s="39"/>
      <c r="BL749" s="44">
        <v>41</v>
      </c>
      <c r="BM749" s="79">
        <f t="shared" si="92"/>
        <v>0</v>
      </c>
      <c r="BN749" s="75"/>
      <c r="BO749" s="75"/>
    </row>
    <row r="750" spans="1:67" s="4" customFormat="1" ht="31.2" x14ac:dyDescent="0.3">
      <c r="A750" s="48">
        <v>35</v>
      </c>
      <c r="B750" s="50" t="s">
        <v>769</v>
      </c>
      <c r="C750" s="39" t="s">
        <v>29</v>
      </c>
      <c r="D750" s="41">
        <v>0.57999999999999996</v>
      </c>
      <c r="E750" s="41"/>
      <c r="F750" s="41">
        <v>0.57999999999999996</v>
      </c>
      <c r="G750" s="39">
        <v>0.43999999999999995</v>
      </c>
      <c r="H750" s="39"/>
      <c r="I750" s="39"/>
      <c r="J750" s="39">
        <f t="shared" si="94"/>
        <v>0.14000000000000001</v>
      </c>
      <c r="K750" s="50" t="s">
        <v>105</v>
      </c>
      <c r="L750" s="50" t="s">
        <v>102</v>
      </c>
      <c r="M750" s="110">
        <v>310</v>
      </c>
      <c r="N750" s="211">
        <v>582</v>
      </c>
      <c r="O750" s="110"/>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39"/>
      <c r="BC750" s="39"/>
      <c r="BD750" s="39">
        <v>0.14000000000000001</v>
      </c>
      <c r="BE750" s="39"/>
      <c r="BF750" s="39"/>
      <c r="BG750" s="39"/>
      <c r="BH750" s="39"/>
      <c r="BI750" s="39"/>
      <c r="BJ750" s="78">
        <f t="shared" si="95"/>
        <v>0</v>
      </c>
      <c r="BK750" s="39"/>
      <c r="BL750" s="44">
        <v>41</v>
      </c>
      <c r="BM750" s="79">
        <f t="shared" si="92"/>
        <v>0</v>
      </c>
      <c r="BN750" s="75"/>
      <c r="BO750" s="75"/>
    </row>
    <row r="751" spans="1:67" s="4" customFormat="1" ht="31.2" x14ac:dyDescent="0.3">
      <c r="A751" s="48">
        <v>36</v>
      </c>
      <c r="B751" s="42" t="s">
        <v>352</v>
      </c>
      <c r="C751" s="41" t="s">
        <v>29</v>
      </c>
      <c r="D751" s="41">
        <v>2.2999999999999998</v>
      </c>
      <c r="E751" s="41"/>
      <c r="F751" s="41">
        <v>2.2999999999999998</v>
      </c>
      <c r="G751" s="41">
        <v>0.3</v>
      </c>
      <c r="H751" s="41"/>
      <c r="I751" s="41"/>
      <c r="J751" s="39">
        <f t="shared" si="94"/>
        <v>2</v>
      </c>
      <c r="K751" s="50" t="s">
        <v>111</v>
      </c>
      <c r="L751" s="50" t="s">
        <v>102</v>
      </c>
      <c r="M751" s="110"/>
      <c r="N751" s="211">
        <v>583</v>
      </c>
      <c r="O751" s="110"/>
      <c r="P751" s="39"/>
      <c r="Q751" s="39"/>
      <c r="R751" s="39"/>
      <c r="S751" s="39"/>
      <c r="T751" s="39"/>
      <c r="U751" s="39"/>
      <c r="V751" s="39"/>
      <c r="W751" s="39"/>
      <c r="X751" s="39"/>
      <c r="Y751" s="39"/>
      <c r="Z751" s="39"/>
      <c r="AA751" s="39"/>
      <c r="AB751" s="39">
        <v>1</v>
      </c>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c r="BC751" s="39"/>
      <c r="BD751" s="39"/>
      <c r="BE751" s="39">
        <v>1</v>
      </c>
      <c r="BF751" s="39"/>
      <c r="BG751" s="39"/>
      <c r="BH751" s="39"/>
      <c r="BI751" s="39"/>
      <c r="BJ751" s="78">
        <f t="shared" si="95"/>
        <v>0</v>
      </c>
      <c r="BK751" s="39"/>
      <c r="BL751" s="44">
        <v>41</v>
      </c>
      <c r="BM751" s="79">
        <f t="shared" si="92"/>
        <v>0</v>
      </c>
      <c r="BN751" s="75"/>
      <c r="BO751" s="75"/>
    </row>
    <row r="752" spans="1:67" s="4" customFormat="1" ht="54" customHeight="1" x14ac:dyDescent="0.3">
      <c r="A752" s="48">
        <v>37</v>
      </c>
      <c r="B752" s="50" t="s">
        <v>306</v>
      </c>
      <c r="C752" s="41" t="s">
        <v>29</v>
      </c>
      <c r="D752" s="41">
        <v>0.4</v>
      </c>
      <c r="E752" s="41"/>
      <c r="F752" s="41">
        <v>0.4</v>
      </c>
      <c r="G752" s="41">
        <v>0.4</v>
      </c>
      <c r="H752" s="41"/>
      <c r="I752" s="41"/>
      <c r="J752" s="39">
        <f t="shared" si="94"/>
        <v>0</v>
      </c>
      <c r="K752" s="50" t="s">
        <v>1051</v>
      </c>
      <c r="L752" s="50" t="s">
        <v>102</v>
      </c>
      <c r="M752" s="110">
        <v>308</v>
      </c>
      <c r="N752" s="211">
        <v>584</v>
      </c>
      <c r="O752" s="110"/>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c r="BC752" s="39"/>
      <c r="BD752" s="39"/>
      <c r="BE752" s="39"/>
      <c r="BF752" s="39"/>
      <c r="BG752" s="39"/>
      <c r="BH752" s="39"/>
      <c r="BI752" s="39"/>
      <c r="BJ752" s="78">
        <f t="shared" si="95"/>
        <v>0</v>
      </c>
      <c r="BK752" s="39"/>
      <c r="BL752" s="44"/>
      <c r="BM752" s="79">
        <f t="shared" si="92"/>
        <v>0</v>
      </c>
      <c r="BN752" s="75"/>
      <c r="BO752" s="75"/>
    </row>
    <row r="753" spans="1:67" s="4" customFormat="1" ht="52.5" customHeight="1" x14ac:dyDescent="0.3">
      <c r="A753" s="48">
        <v>38</v>
      </c>
      <c r="B753" s="50" t="s">
        <v>306</v>
      </c>
      <c r="C753" s="41" t="s">
        <v>29</v>
      </c>
      <c r="D753" s="41">
        <v>1</v>
      </c>
      <c r="E753" s="41"/>
      <c r="F753" s="41">
        <v>1</v>
      </c>
      <c r="G753" s="41">
        <v>1</v>
      </c>
      <c r="H753" s="41"/>
      <c r="I753" s="41"/>
      <c r="J753" s="39">
        <f t="shared" si="94"/>
        <v>0</v>
      </c>
      <c r="K753" s="50" t="s">
        <v>1052</v>
      </c>
      <c r="L753" s="50" t="s">
        <v>102</v>
      </c>
      <c r="M753" s="110">
        <v>312</v>
      </c>
      <c r="N753" s="211">
        <v>584</v>
      </c>
      <c r="O753" s="110"/>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c r="BC753" s="39"/>
      <c r="BD753" s="39"/>
      <c r="BE753" s="39"/>
      <c r="BF753" s="39"/>
      <c r="BG753" s="39"/>
      <c r="BH753" s="39"/>
      <c r="BI753" s="39"/>
      <c r="BJ753" s="78">
        <f t="shared" si="95"/>
        <v>0</v>
      </c>
      <c r="BK753" s="39"/>
      <c r="BL753" s="44"/>
      <c r="BM753" s="79">
        <f t="shared" si="92"/>
        <v>0</v>
      </c>
      <c r="BN753" s="75"/>
      <c r="BO753" s="75"/>
    </row>
    <row r="754" spans="1:67" s="4" customFormat="1" ht="31.2" x14ac:dyDescent="0.3">
      <c r="A754" s="48">
        <v>39</v>
      </c>
      <c r="B754" s="50" t="s">
        <v>306</v>
      </c>
      <c r="C754" s="41" t="s">
        <v>29</v>
      </c>
      <c r="D754" s="41">
        <v>2.4</v>
      </c>
      <c r="E754" s="41"/>
      <c r="F754" s="41">
        <v>2.4</v>
      </c>
      <c r="G754" s="41">
        <v>1.1000000000000001</v>
      </c>
      <c r="H754" s="41"/>
      <c r="I754" s="41"/>
      <c r="J754" s="39">
        <f t="shared" si="94"/>
        <v>1.2999999999999998</v>
      </c>
      <c r="K754" s="50" t="s">
        <v>749</v>
      </c>
      <c r="L754" s="50" t="s">
        <v>102</v>
      </c>
      <c r="M754" s="110">
        <v>53</v>
      </c>
      <c r="N754" s="211">
        <v>586</v>
      </c>
      <c r="O754" s="110"/>
      <c r="P754" s="39"/>
      <c r="Q754" s="39"/>
      <c r="R754" s="39"/>
      <c r="S754" s="39"/>
      <c r="T754" s="39"/>
      <c r="U754" s="39"/>
      <c r="V754" s="39"/>
      <c r="W754" s="39"/>
      <c r="X754" s="39"/>
      <c r="Y754" s="39"/>
      <c r="Z754" s="39">
        <v>0.7</v>
      </c>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39"/>
      <c r="BC754" s="39"/>
      <c r="BD754" s="39"/>
      <c r="BE754" s="39">
        <v>0.6</v>
      </c>
      <c r="BF754" s="39"/>
      <c r="BG754" s="39"/>
      <c r="BH754" s="39"/>
      <c r="BI754" s="39"/>
      <c r="BJ754" s="78">
        <f t="shared" si="95"/>
        <v>0</v>
      </c>
      <c r="BK754" s="39"/>
      <c r="BL754" s="44"/>
      <c r="BM754" s="79">
        <f t="shared" si="92"/>
        <v>0</v>
      </c>
      <c r="BN754" s="75"/>
      <c r="BO754" s="75"/>
    </row>
    <row r="755" spans="1:67" s="4" customFormat="1" x14ac:dyDescent="0.3">
      <c r="A755" s="48">
        <v>40</v>
      </c>
      <c r="B755" s="50" t="s">
        <v>306</v>
      </c>
      <c r="C755" s="41" t="s">
        <v>29</v>
      </c>
      <c r="D755" s="41">
        <v>2.7</v>
      </c>
      <c r="E755" s="41"/>
      <c r="F755" s="41">
        <v>2.7</v>
      </c>
      <c r="G755" s="41">
        <v>2.7</v>
      </c>
      <c r="H755" s="41"/>
      <c r="I755" s="41"/>
      <c r="J755" s="39"/>
      <c r="K755" s="50" t="s">
        <v>106</v>
      </c>
      <c r="L755" s="50" t="s">
        <v>102</v>
      </c>
      <c r="M755" s="110">
        <v>19</v>
      </c>
      <c r="N755" s="211">
        <v>587</v>
      </c>
      <c r="O755" s="110"/>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c r="BC755" s="39"/>
      <c r="BD755" s="39"/>
      <c r="BE755" s="39"/>
      <c r="BF755" s="39"/>
      <c r="BG755" s="39"/>
      <c r="BH755" s="39"/>
      <c r="BI755" s="39"/>
      <c r="BJ755" s="78">
        <f t="shared" si="95"/>
        <v>0</v>
      </c>
      <c r="BK755" s="39"/>
      <c r="BL755" s="44">
        <v>41</v>
      </c>
      <c r="BM755" s="79">
        <f t="shared" si="92"/>
        <v>0</v>
      </c>
      <c r="BN755" s="75"/>
      <c r="BO755" s="75"/>
    </row>
    <row r="756" spans="1:67" s="4" customFormat="1" ht="62.4" x14ac:dyDescent="0.3">
      <c r="A756" s="48">
        <v>41</v>
      </c>
      <c r="B756" s="50" t="s">
        <v>588</v>
      </c>
      <c r="C756" s="39" t="s">
        <v>29</v>
      </c>
      <c r="D756" s="41">
        <v>2.8</v>
      </c>
      <c r="E756" s="41"/>
      <c r="F756" s="41">
        <v>2.8</v>
      </c>
      <c r="G756" s="39"/>
      <c r="H756" s="39">
        <v>0</v>
      </c>
      <c r="I756" s="39"/>
      <c r="J756" s="39">
        <v>2.8</v>
      </c>
      <c r="K756" s="50" t="s">
        <v>124</v>
      </c>
      <c r="L756" s="122" t="s">
        <v>125</v>
      </c>
      <c r="M756" s="110" t="s">
        <v>123</v>
      </c>
      <c r="N756" s="211">
        <v>588</v>
      </c>
      <c r="O756" s="110"/>
      <c r="P756" s="39"/>
      <c r="Q756" s="39"/>
      <c r="R756" s="39"/>
      <c r="S756" s="39"/>
      <c r="T756" s="39"/>
      <c r="U756" s="39"/>
      <c r="V756" s="39"/>
      <c r="W756" s="39"/>
      <c r="X756" s="39"/>
      <c r="Y756" s="39"/>
      <c r="Z756" s="39"/>
      <c r="AA756" s="39"/>
      <c r="AB756" s="39"/>
      <c r="AC756" s="39"/>
      <c r="AD756" s="39">
        <v>2.8</v>
      </c>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c r="BC756" s="39"/>
      <c r="BD756" s="39"/>
      <c r="BE756" s="39"/>
      <c r="BF756" s="39"/>
      <c r="BG756" s="39"/>
      <c r="BH756" s="39"/>
      <c r="BI756" s="39"/>
      <c r="BJ756" s="78">
        <f t="shared" si="95"/>
        <v>0</v>
      </c>
      <c r="BK756" s="39"/>
      <c r="BL756" s="44">
        <v>41</v>
      </c>
      <c r="BM756" s="79">
        <f t="shared" si="92"/>
        <v>0</v>
      </c>
      <c r="BN756" s="75"/>
      <c r="BO756" s="75"/>
    </row>
    <row r="757" spans="1:67" s="4" customFormat="1" ht="62.4" x14ac:dyDescent="0.3">
      <c r="A757" s="48">
        <v>42</v>
      </c>
      <c r="B757" s="50" t="s">
        <v>127</v>
      </c>
      <c r="C757" s="39" t="s">
        <v>29</v>
      </c>
      <c r="D757" s="41">
        <v>4.4000000000000004</v>
      </c>
      <c r="E757" s="41"/>
      <c r="F757" s="41">
        <v>4.4000000000000004</v>
      </c>
      <c r="G757" s="39"/>
      <c r="H757" s="39">
        <v>0</v>
      </c>
      <c r="I757" s="39"/>
      <c r="J757" s="39">
        <v>4.4000000000000004</v>
      </c>
      <c r="K757" s="50" t="s">
        <v>128</v>
      </c>
      <c r="L757" s="122" t="s">
        <v>125</v>
      </c>
      <c r="M757" s="110" t="s">
        <v>126</v>
      </c>
      <c r="N757" s="211">
        <v>589</v>
      </c>
      <c r="O757" s="110"/>
      <c r="P757" s="39"/>
      <c r="Q757" s="39"/>
      <c r="R757" s="39"/>
      <c r="S757" s="39"/>
      <c r="T757" s="39"/>
      <c r="U757" s="39"/>
      <c r="V757" s="39"/>
      <c r="W757" s="39"/>
      <c r="X757" s="39"/>
      <c r="Y757" s="39"/>
      <c r="Z757" s="39"/>
      <c r="AA757" s="39">
        <v>0.5</v>
      </c>
      <c r="AB757" s="39"/>
      <c r="AC757" s="39"/>
      <c r="AD757" s="39">
        <v>3.9</v>
      </c>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39"/>
      <c r="BC757" s="39"/>
      <c r="BD757" s="39"/>
      <c r="BE757" s="39"/>
      <c r="BF757" s="39"/>
      <c r="BG757" s="39"/>
      <c r="BH757" s="39"/>
      <c r="BI757" s="39"/>
      <c r="BJ757" s="78">
        <f t="shared" si="95"/>
        <v>0</v>
      </c>
      <c r="BK757" s="39"/>
      <c r="BL757" s="44">
        <v>41</v>
      </c>
      <c r="BM757" s="79">
        <f t="shared" si="92"/>
        <v>0</v>
      </c>
      <c r="BN757" s="75"/>
      <c r="BO757" s="75"/>
    </row>
    <row r="758" spans="1:67" s="4" customFormat="1" ht="31.2" x14ac:dyDescent="0.3">
      <c r="A758" s="48">
        <v>43</v>
      </c>
      <c r="B758" s="50" t="s">
        <v>130</v>
      </c>
      <c r="C758" s="39" t="s">
        <v>29</v>
      </c>
      <c r="D758" s="41">
        <v>1.1499999999999999</v>
      </c>
      <c r="E758" s="41"/>
      <c r="F758" s="41">
        <v>1.1499999999999999</v>
      </c>
      <c r="G758" s="39"/>
      <c r="H758" s="39">
        <v>0</v>
      </c>
      <c r="I758" s="39"/>
      <c r="J758" s="39">
        <v>1.1499999999999999</v>
      </c>
      <c r="K758" s="50" t="s">
        <v>131</v>
      </c>
      <c r="L758" s="122" t="s">
        <v>125</v>
      </c>
      <c r="M758" s="110" t="s">
        <v>129</v>
      </c>
      <c r="N758" s="211">
        <v>590</v>
      </c>
      <c r="O758" s="110"/>
      <c r="P758" s="39"/>
      <c r="Q758" s="39"/>
      <c r="R758" s="39"/>
      <c r="S758" s="39"/>
      <c r="T758" s="39"/>
      <c r="U758" s="39"/>
      <c r="V758" s="39"/>
      <c r="W758" s="39"/>
      <c r="X758" s="39">
        <v>0.3</v>
      </c>
      <c r="Y758" s="39"/>
      <c r="Z758" s="39"/>
      <c r="AA758" s="39">
        <v>0.85</v>
      </c>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c r="BC758" s="39"/>
      <c r="BD758" s="39"/>
      <c r="BE758" s="39"/>
      <c r="BF758" s="39"/>
      <c r="BG758" s="39"/>
      <c r="BH758" s="39"/>
      <c r="BI758" s="39"/>
      <c r="BJ758" s="78">
        <f t="shared" si="95"/>
        <v>0</v>
      </c>
      <c r="BK758" s="39"/>
      <c r="BL758" s="44">
        <v>41</v>
      </c>
      <c r="BM758" s="79">
        <f t="shared" si="92"/>
        <v>0</v>
      </c>
      <c r="BN758" s="75"/>
      <c r="BO758" s="75"/>
    </row>
    <row r="759" spans="1:67" s="4" customFormat="1" ht="62.4" x14ac:dyDescent="0.3">
      <c r="A759" s="48">
        <v>44</v>
      </c>
      <c r="B759" s="50" t="s">
        <v>589</v>
      </c>
      <c r="C759" s="39" t="s">
        <v>29</v>
      </c>
      <c r="D759" s="41">
        <v>5.15</v>
      </c>
      <c r="E759" s="41"/>
      <c r="F759" s="41">
        <v>5.15</v>
      </c>
      <c r="G759" s="39"/>
      <c r="H759" s="39">
        <v>0</v>
      </c>
      <c r="I759" s="39"/>
      <c r="J759" s="39">
        <v>5.15</v>
      </c>
      <c r="K759" s="50" t="s">
        <v>133</v>
      </c>
      <c r="L759" s="122" t="s">
        <v>125</v>
      </c>
      <c r="M759" s="110" t="s">
        <v>132</v>
      </c>
      <c r="N759" s="211">
        <v>591</v>
      </c>
      <c r="O759" s="110"/>
      <c r="P759" s="39"/>
      <c r="Q759" s="39"/>
      <c r="R759" s="39"/>
      <c r="S759" s="39"/>
      <c r="T759" s="39"/>
      <c r="U759" s="39"/>
      <c r="V759" s="39"/>
      <c r="W759" s="39"/>
      <c r="X759" s="39">
        <v>3.6</v>
      </c>
      <c r="Y759" s="39"/>
      <c r="Z759" s="39"/>
      <c r="AA759" s="39">
        <v>0.9</v>
      </c>
      <c r="AB759" s="39"/>
      <c r="AC759" s="39"/>
      <c r="AD759" s="39">
        <v>0.65</v>
      </c>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39"/>
      <c r="BC759" s="39"/>
      <c r="BD759" s="39"/>
      <c r="BE759" s="39"/>
      <c r="BF759" s="39"/>
      <c r="BG759" s="39"/>
      <c r="BH759" s="39"/>
      <c r="BI759" s="39"/>
      <c r="BJ759" s="78">
        <f t="shared" si="95"/>
        <v>0</v>
      </c>
      <c r="BK759" s="39"/>
      <c r="BL759" s="44">
        <v>41</v>
      </c>
      <c r="BM759" s="79">
        <f t="shared" si="92"/>
        <v>0</v>
      </c>
      <c r="BN759" s="75"/>
      <c r="BO759" s="75"/>
    </row>
    <row r="760" spans="1:67" s="4" customFormat="1" ht="31.2" x14ac:dyDescent="0.3">
      <c r="A760" s="48">
        <v>45</v>
      </c>
      <c r="B760" s="50" t="s">
        <v>1082</v>
      </c>
      <c r="C760" s="39" t="s">
        <v>29</v>
      </c>
      <c r="D760" s="41">
        <v>3.9</v>
      </c>
      <c r="E760" s="41"/>
      <c r="F760" s="41">
        <v>3.9</v>
      </c>
      <c r="G760" s="39">
        <v>2.5</v>
      </c>
      <c r="H760" s="39">
        <v>0</v>
      </c>
      <c r="I760" s="39"/>
      <c r="J760" s="39">
        <v>1.4</v>
      </c>
      <c r="K760" s="50" t="s">
        <v>134</v>
      </c>
      <c r="L760" s="122" t="s">
        <v>125</v>
      </c>
      <c r="M760" s="110">
        <v>13</v>
      </c>
      <c r="N760" s="211">
        <v>592</v>
      </c>
      <c r="O760" s="110"/>
      <c r="P760" s="39"/>
      <c r="Q760" s="39"/>
      <c r="R760" s="39"/>
      <c r="S760" s="39"/>
      <c r="T760" s="39"/>
      <c r="U760" s="39"/>
      <c r="V760" s="39"/>
      <c r="W760" s="39"/>
      <c r="X760" s="39"/>
      <c r="Y760" s="39"/>
      <c r="Z760" s="39">
        <v>1.4</v>
      </c>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39"/>
      <c r="BC760" s="39"/>
      <c r="BD760" s="39"/>
      <c r="BE760" s="39"/>
      <c r="BF760" s="39"/>
      <c r="BG760" s="39"/>
      <c r="BH760" s="39"/>
      <c r="BI760" s="39"/>
      <c r="BJ760" s="78">
        <f t="shared" si="95"/>
        <v>0</v>
      </c>
      <c r="BK760" s="39"/>
      <c r="BL760" s="44">
        <v>41</v>
      </c>
      <c r="BM760" s="79">
        <f t="shared" si="92"/>
        <v>0</v>
      </c>
      <c r="BN760" s="75"/>
      <c r="BO760" s="75"/>
    </row>
    <row r="761" spans="1:67" s="4" customFormat="1" ht="31.2" x14ac:dyDescent="0.3">
      <c r="A761" s="48">
        <v>46</v>
      </c>
      <c r="B761" s="50" t="s">
        <v>135</v>
      </c>
      <c r="C761" s="39" t="s">
        <v>29</v>
      </c>
      <c r="D761" s="39">
        <v>2.6</v>
      </c>
      <c r="E761" s="39"/>
      <c r="F761" s="39">
        <v>2.6</v>
      </c>
      <c r="G761" s="39"/>
      <c r="H761" s="39">
        <v>0</v>
      </c>
      <c r="I761" s="39"/>
      <c r="J761" s="39">
        <v>2.6</v>
      </c>
      <c r="K761" s="101" t="s">
        <v>124</v>
      </c>
      <c r="L761" s="122" t="s">
        <v>125</v>
      </c>
      <c r="M761" s="110">
        <v>14</v>
      </c>
      <c r="N761" s="211">
        <v>593</v>
      </c>
      <c r="O761" s="110"/>
      <c r="P761" s="39"/>
      <c r="Q761" s="39"/>
      <c r="R761" s="39"/>
      <c r="S761" s="39"/>
      <c r="T761" s="39"/>
      <c r="U761" s="39"/>
      <c r="V761" s="39"/>
      <c r="W761" s="39"/>
      <c r="X761" s="39">
        <v>1</v>
      </c>
      <c r="Y761" s="39"/>
      <c r="Z761" s="39">
        <v>0.8</v>
      </c>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39"/>
      <c r="BC761" s="39"/>
      <c r="BD761" s="39"/>
      <c r="BE761" s="39">
        <v>0.8</v>
      </c>
      <c r="BF761" s="39"/>
      <c r="BG761" s="39"/>
      <c r="BH761" s="39"/>
      <c r="BI761" s="39"/>
      <c r="BJ761" s="78">
        <f t="shared" si="95"/>
        <v>0</v>
      </c>
      <c r="BK761" s="39"/>
      <c r="BL761" s="44">
        <v>41</v>
      </c>
      <c r="BM761" s="79">
        <f t="shared" si="92"/>
        <v>0</v>
      </c>
      <c r="BN761" s="75"/>
      <c r="BO761" s="75"/>
    </row>
    <row r="762" spans="1:67" s="4" customFormat="1" x14ac:dyDescent="0.3">
      <c r="A762" s="48">
        <v>47</v>
      </c>
      <c r="B762" s="50" t="s">
        <v>564</v>
      </c>
      <c r="C762" s="39" t="s">
        <v>29</v>
      </c>
      <c r="D762" s="39">
        <v>5</v>
      </c>
      <c r="E762" s="39"/>
      <c r="F762" s="39">
        <v>5</v>
      </c>
      <c r="G762" s="39">
        <v>0.5</v>
      </c>
      <c r="H762" s="39">
        <v>0</v>
      </c>
      <c r="I762" s="39"/>
      <c r="J762" s="39">
        <v>4.5</v>
      </c>
      <c r="K762" s="101" t="s">
        <v>128</v>
      </c>
      <c r="L762" s="122" t="s">
        <v>125</v>
      </c>
      <c r="M762" s="110">
        <v>39</v>
      </c>
      <c r="N762" s="211">
        <v>594</v>
      </c>
      <c r="O762" s="110"/>
      <c r="P762" s="39"/>
      <c r="Q762" s="39"/>
      <c r="R762" s="39"/>
      <c r="S762" s="39"/>
      <c r="T762" s="39"/>
      <c r="U762" s="39"/>
      <c r="V762" s="39"/>
      <c r="W762" s="39"/>
      <c r="X762" s="39">
        <v>2.8</v>
      </c>
      <c r="Y762" s="39"/>
      <c r="Z762" s="39">
        <v>1.7</v>
      </c>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39"/>
      <c r="BC762" s="39"/>
      <c r="BD762" s="39"/>
      <c r="BE762" s="39"/>
      <c r="BF762" s="39"/>
      <c r="BG762" s="39"/>
      <c r="BH762" s="39"/>
      <c r="BI762" s="39"/>
      <c r="BJ762" s="78">
        <f t="shared" si="95"/>
        <v>0</v>
      </c>
      <c r="BK762" s="39"/>
      <c r="BL762" s="44">
        <v>41</v>
      </c>
      <c r="BM762" s="79">
        <f t="shared" ref="BM762:BM825" si="96">J762-SUM(V762:BH762)</f>
        <v>0</v>
      </c>
      <c r="BN762" s="75"/>
      <c r="BO762" s="75"/>
    </row>
    <row r="763" spans="1:67" s="4" customFormat="1" ht="31.2" x14ac:dyDescent="0.3">
      <c r="A763" s="48">
        <v>48</v>
      </c>
      <c r="B763" s="42" t="s">
        <v>352</v>
      </c>
      <c r="C763" s="48" t="s">
        <v>29</v>
      </c>
      <c r="D763" s="41">
        <v>1</v>
      </c>
      <c r="E763" s="39"/>
      <c r="F763" s="41">
        <v>1</v>
      </c>
      <c r="G763" s="41"/>
      <c r="H763" s="41"/>
      <c r="I763" s="39"/>
      <c r="J763" s="107">
        <v>1</v>
      </c>
      <c r="K763" s="42" t="s">
        <v>711</v>
      </c>
      <c r="L763" s="122" t="s">
        <v>125</v>
      </c>
      <c r="M763" s="110" t="s">
        <v>672</v>
      </c>
      <c r="N763" s="211">
        <v>595</v>
      </c>
      <c r="O763" s="110"/>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c r="BC763" s="39"/>
      <c r="BD763" s="39"/>
      <c r="BE763" s="39">
        <v>1</v>
      </c>
      <c r="BF763" s="39"/>
      <c r="BG763" s="39"/>
      <c r="BH763" s="39"/>
      <c r="BI763" s="39"/>
      <c r="BJ763" s="78">
        <f t="shared" si="95"/>
        <v>0</v>
      </c>
      <c r="BK763" s="39"/>
      <c r="BL763" s="44">
        <v>41</v>
      </c>
      <c r="BM763" s="79">
        <f t="shared" si="96"/>
        <v>0</v>
      </c>
      <c r="BN763" s="75"/>
      <c r="BO763" s="75"/>
    </row>
    <row r="764" spans="1:67" s="62" customFormat="1" ht="31.2" x14ac:dyDescent="0.3">
      <c r="A764" s="48">
        <v>49</v>
      </c>
      <c r="B764" s="42" t="s">
        <v>1249</v>
      </c>
      <c r="C764" s="48" t="s">
        <v>29</v>
      </c>
      <c r="D764" s="41">
        <v>63</v>
      </c>
      <c r="E764" s="39"/>
      <c r="F764" s="41">
        <v>63</v>
      </c>
      <c r="G764" s="41">
        <v>0.99</v>
      </c>
      <c r="H764" s="41">
        <v>9.5</v>
      </c>
      <c r="I764" s="39"/>
      <c r="J764" s="107">
        <f>F764-G764-H764</f>
        <v>52.51</v>
      </c>
      <c r="K764" s="42"/>
      <c r="L764" s="122" t="s">
        <v>125</v>
      </c>
      <c r="M764" s="110"/>
      <c r="N764" s="211">
        <v>802</v>
      </c>
      <c r="O764" s="110"/>
      <c r="P764" s="39"/>
      <c r="Q764" s="39">
        <v>9.06</v>
      </c>
      <c r="R764" s="39">
        <v>0.44</v>
      </c>
      <c r="S764" s="39"/>
      <c r="T764" s="39"/>
      <c r="U764" s="39"/>
      <c r="V764" s="39"/>
      <c r="W764" s="39"/>
      <c r="X764" s="39">
        <v>13.93</v>
      </c>
      <c r="Y764" s="39"/>
      <c r="Z764" s="39">
        <v>23.6</v>
      </c>
      <c r="AA764" s="39">
        <v>4.05</v>
      </c>
      <c r="AB764" s="39"/>
      <c r="AC764" s="39"/>
      <c r="AD764" s="39"/>
      <c r="AE764" s="39"/>
      <c r="AF764" s="39"/>
      <c r="AG764" s="39"/>
      <c r="AH764" s="39"/>
      <c r="AI764" s="39"/>
      <c r="AJ764" s="39"/>
      <c r="AK764" s="39"/>
      <c r="AL764" s="39"/>
      <c r="AM764" s="39"/>
      <c r="AN764" s="39"/>
      <c r="AO764" s="39"/>
      <c r="AP764" s="39"/>
      <c r="AQ764" s="39">
        <v>1.91</v>
      </c>
      <c r="AR764" s="39">
        <v>1.33</v>
      </c>
      <c r="AS764" s="39"/>
      <c r="AT764" s="39"/>
      <c r="AU764" s="39"/>
      <c r="AV764" s="39"/>
      <c r="AW764" s="39"/>
      <c r="AX764" s="39"/>
      <c r="AY764" s="39"/>
      <c r="AZ764" s="39"/>
      <c r="BA764" s="39"/>
      <c r="BB764" s="39">
        <v>0.22</v>
      </c>
      <c r="BC764" s="39">
        <v>0.16</v>
      </c>
      <c r="BD764" s="39">
        <v>1.1499999999999999</v>
      </c>
      <c r="BE764" s="39">
        <v>6.16</v>
      </c>
      <c r="BF764" s="39"/>
      <c r="BG764" s="39"/>
      <c r="BH764" s="39"/>
      <c r="BI764" s="39"/>
      <c r="BJ764" s="78">
        <f t="shared" si="95"/>
        <v>0</v>
      </c>
      <c r="BK764" s="39"/>
      <c r="BL764" s="44"/>
      <c r="BM764" s="79">
        <f t="shared" si="96"/>
        <v>0</v>
      </c>
      <c r="BN764" s="75"/>
      <c r="BO764" s="75"/>
    </row>
    <row r="765" spans="1:67" s="4" customFormat="1" ht="46.8" x14ac:dyDescent="0.3">
      <c r="A765" s="48">
        <v>50</v>
      </c>
      <c r="B765" s="50" t="s">
        <v>565</v>
      </c>
      <c r="C765" s="39" t="s">
        <v>29</v>
      </c>
      <c r="D765" s="41">
        <v>3.9</v>
      </c>
      <c r="E765" s="41"/>
      <c r="F765" s="41">
        <v>3.9</v>
      </c>
      <c r="G765" s="39">
        <v>3.55</v>
      </c>
      <c r="H765" s="39"/>
      <c r="I765" s="39"/>
      <c r="J765" s="39">
        <v>0.35</v>
      </c>
      <c r="K765" s="50" t="s">
        <v>156</v>
      </c>
      <c r="L765" s="50" t="s">
        <v>154</v>
      </c>
      <c r="M765" s="110" t="s">
        <v>155</v>
      </c>
      <c r="N765" s="211">
        <v>596</v>
      </c>
      <c r="O765" s="110"/>
      <c r="P765" s="39"/>
      <c r="Q765" s="39"/>
      <c r="R765" s="39"/>
      <c r="S765" s="39"/>
      <c r="T765" s="39"/>
      <c r="U765" s="39"/>
      <c r="V765" s="39"/>
      <c r="W765" s="39"/>
      <c r="X765" s="39"/>
      <c r="Y765" s="39"/>
      <c r="Z765" s="39">
        <v>0.2</v>
      </c>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39"/>
      <c r="BC765" s="39"/>
      <c r="BD765" s="39">
        <v>0.15</v>
      </c>
      <c r="BE765" s="39"/>
      <c r="BF765" s="39"/>
      <c r="BG765" s="39"/>
      <c r="BH765" s="39"/>
      <c r="BI765" s="39"/>
      <c r="BJ765" s="78">
        <f t="shared" si="95"/>
        <v>0</v>
      </c>
      <c r="BK765" s="39"/>
      <c r="BL765" s="44">
        <v>41</v>
      </c>
      <c r="BM765" s="79">
        <f t="shared" si="96"/>
        <v>0</v>
      </c>
      <c r="BN765" s="75"/>
      <c r="BO765" s="75"/>
    </row>
    <row r="766" spans="1:67" s="4" customFormat="1" ht="31.2" x14ac:dyDescent="0.3">
      <c r="A766" s="48">
        <v>51</v>
      </c>
      <c r="B766" s="50" t="s">
        <v>566</v>
      </c>
      <c r="C766" s="39" t="s">
        <v>29</v>
      </c>
      <c r="D766" s="41">
        <v>2.31</v>
      </c>
      <c r="E766" s="41"/>
      <c r="F766" s="41">
        <v>2.31</v>
      </c>
      <c r="G766" s="39">
        <v>2.2000000000000002</v>
      </c>
      <c r="H766" s="39"/>
      <c r="I766" s="39"/>
      <c r="J766" s="39">
        <v>0.11</v>
      </c>
      <c r="K766" s="50" t="s">
        <v>158</v>
      </c>
      <c r="L766" s="50" t="s">
        <v>154</v>
      </c>
      <c r="M766" s="110" t="s">
        <v>157</v>
      </c>
      <c r="N766" s="211">
        <v>597</v>
      </c>
      <c r="O766" s="110"/>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c r="BC766" s="39"/>
      <c r="BD766" s="39"/>
      <c r="BE766" s="39">
        <v>0.11</v>
      </c>
      <c r="BF766" s="39"/>
      <c r="BG766" s="39"/>
      <c r="BH766" s="39"/>
      <c r="BI766" s="39"/>
      <c r="BJ766" s="78">
        <f t="shared" si="95"/>
        <v>0</v>
      </c>
      <c r="BK766" s="39"/>
      <c r="BL766" s="44">
        <v>41</v>
      </c>
      <c r="BM766" s="79">
        <f t="shared" si="96"/>
        <v>0</v>
      </c>
      <c r="BN766" s="75"/>
      <c r="BO766" s="75"/>
    </row>
    <row r="767" spans="1:67" s="4" customFormat="1" ht="31.2" x14ac:dyDescent="0.3">
      <c r="A767" s="48">
        <v>52</v>
      </c>
      <c r="B767" s="50" t="s">
        <v>567</v>
      </c>
      <c r="C767" s="41" t="s">
        <v>29</v>
      </c>
      <c r="D767" s="41">
        <v>2.5</v>
      </c>
      <c r="E767" s="41"/>
      <c r="F767" s="41">
        <v>2.5</v>
      </c>
      <c r="G767" s="41">
        <v>1.4</v>
      </c>
      <c r="H767" s="41"/>
      <c r="I767" s="41"/>
      <c r="J767" s="39">
        <v>1.1000000000000001</v>
      </c>
      <c r="K767" s="50" t="s">
        <v>159</v>
      </c>
      <c r="L767" s="50" t="s">
        <v>154</v>
      </c>
      <c r="M767" s="110">
        <v>19</v>
      </c>
      <c r="N767" s="211">
        <v>598</v>
      </c>
      <c r="O767" s="110"/>
      <c r="P767" s="39"/>
      <c r="Q767" s="39"/>
      <c r="R767" s="39"/>
      <c r="S767" s="39"/>
      <c r="T767" s="39"/>
      <c r="U767" s="39"/>
      <c r="V767" s="39"/>
      <c r="W767" s="39"/>
      <c r="X767" s="39"/>
      <c r="Y767" s="39"/>
      <c r="Z767" s="39">
        <v>1.1000000000000001</v>
      </c>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c r="BC767" s="39"/>
      <c r="BD767" s="39"/>
      <c r="BE767" s="39"/>
      <c r="BF767" s="39"/>
      <c r="BG767" s="39"/>
      <c r="BH767" s="39"/>
      <c r="BI767" s="39"/>
      <c r="BJ767" s="78">
        <f t="shared" si="95"/>
        <v>0</v>
      </c>
      <c r="BK767" s="39"/>
      <c r="BL767" s="44">
        <v>41</v>
      </c>
      <c r="BM767" s="79">
        <f t="shared" si="96"/>
        <v>0</v>
      </c>
      <c r="BN767" s="75"/>
      <c r="BO767" s="75"/>
    </row>
    <row r="768" spans="1:67" s="4" customFormat="1" ht="31.2" x14ac:dyDescent="0.3">
      <c r="A768" s="48">
        <v>53</v>
      </c>
      <c r="B768" s="42" t="s">
        <v>352</v>
      </c>
      <c r="C768" s="39" t="s">
        <v>29</v>
      </c>
      <c r="D768" s="39">
        <v>2.5</v>
      </c>
      <c r="E768" s="39"/>
      <c r="F768" s="39">
        <v>2.5</v>
      </c>
      <c r="G768" s="39">
        <v>1</v>
      </c>
      <c r="H768" s="39"/>
      <c r="I768" s="39"/>
      <c r="J768" s="39">
        <v>1.5</v>
      </c>
      <c r="K768" s="92" t="s">
        <v>111</v>
      </c>
      <c r="L768" s="50" t="s">
        <v>154</v>
      </c>
      <c r="M768" s="110">
        <v>71</v>
      </c>
      <c r="N768" s="211">
        <v>599</v>
      </c>
      <c r="O768" s="110"/>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c r="BC768" s="39"/>
      <c r="BD768" s="39"/>
      <c r="BE768" s="39">
        <v>1.5</v>
      </c>
      <c r="BF768" s="39"/>
      <c r="BG768" s="39"/>
      <c r="BH768" s="39"/>
      <c r="BI768" s="39"/>
      <c r="BJ768" s="78">
        <f t="shared" si="95"/>
        <v>0</v>
      </c>
      <c r="BK768" s="39"/>
      <c r="BL768" s="44">
        <v>41</v>
      </c>
      <c r="BM768" s="79">
        <f t="shared" si="96"/>
        <v>0</v>
      </c>
      <c r="BN768" s="75"/>
      <c r="BO768" s="75"/>
    </row>
    <row r="769" spans="1:67" s="4" customFormat="1" ht="46.8" x14ac:dyDescent="0.3">
      <c r="A769" s="48">
        <v>54</v>
      </c>
      <c r="B769" s="50" t="s">
        <v>568</v>
      </c>
      <c r="C769" s="39" t="s">
        <v>29</v>
      </c>
      <c r="D769" s="41">
        <v>5.0999999999999996</v>
      </c>
      <c r="E769" s="41"/>
      <c r="F769" s="41">
        <v>5.0999999999999996</v>
      </c>
      <c r="G769" s="39">
        <v>4.2</v>
      </c>
      <c r="H769" s="39"/>
      <c r="I769" s="39"/>
      <c r="J769" s="39">
        <v>0.9</v>
      </c>
      <c r="K769" s="50" t="s">
        <v>159</v>
      </c>
      <c r="L769" s="50" t="s">
        <v>154</v>
      </c>
      <c r="M769" s="110" t="s">
        <v>160</v>
      </c>
      <c r="N769" s="211">
        <v>600</v>
      </c>
      <c r="O769" s="110"/>
      <c r="P769" s="39"/>
      <c r="Q769" s="39"/>
      <c r="R769" s="39"/>
      <c r="S769" s="39"/>
      <c r="T769" s="39"/>
      <c r="U769" s="39"/>
      <c r="V769" s="39"/>
      <c r="W769" s="39"/>
      <c r="X769" s="39"/>
      <c r="Y769" s="39"/>
      <c r="Z769" s="39">
        <v>0.9</v>
      </c>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39"/>
      <c r="BD769" s="39"/>
      <c r="BE769" s="39"/>
      <c r="BF769" s="39"/>
      <c r="BG769" s="39"/>
      <c r="BH769" s="39"/>
      <c r="BI769" s="39"/>
      <c r="BJ769" s="78">
        <f t="shared" si="95"/>
        <v>0</v>
      </c>
      <c r="BK769" s="39"/>
      <c r="BL769" s="44">
        <v>41</v>
      </c>
      <c r="BM769" s="79">
        <f t="shared" si="96"/>
        <v>0</v>
      </c>
      <c r="BN769" s="75"/>
      <c r="BO769" s="75"/>
    </row>
    <row r="770" spans="1:67" s="4" customFormat="1" ht="67.5" customHeight="1" x14ac:dyDescent="0.3">
      <c r="A770" s="48">
        <v>55</v>
      </c>
      <c r="B770" s="50" t="s">
        <v>806</v>
      </c>
      <c r="C770" s="39" t="s">
        <v>29</v>
      </c>
      <c r="D770" s="41">
        <v>7.2</v>
      </c>
      <c r="E770" s="41"/>
      <c r="F770" s="41">
        <v>7.2</v>
      </c>
      <c r="G770" s="39">
        <v>4.78</v>
      </c>
      <c r="H770" s="39"/>
      <c r="I770" s="39"/>
      <c r="J770" s="39">
        <v>2.42</v>
      </c>
      <c r="K770" s="50" t="s">
        <v>153</v>
      </c>
      <c r="L770" s="50" t="s">
        <v>154</v>
      </c>
      <c r="M770" s="110" t="s">
        <v>161</v>
      </c>
      <c r="N770" s="211">
        <v>601</v>
      </c>
      <c r="O770" s="110"/>
      <c r="P770" s="39"/>
      <c r="Q770" s="39"/>
      <c r="R770" s="39"/>
      <c r="S770" s="39"/>
      <c r="T770" s="39"/>
      <c r="U770" s="39"/>
      <c r="V770" s="39"/>
      <c r="W770" s="39"/>
      <c r="X770" s="39"/>
      <c r="Y770" s="39"/>
      <c r="Z770" s="39">
        <v>2</v>
      </c>
      <c r="AA770" s="39"/>
      <c r="AB770" s="39"/>
      <c r="AC770" s="39"/>
      <c r="AD770" s="39"/>
      <c r="AE770" s="39"/>
      <c r="AF770" s="39"/>
      <c r="AG770" s="39"/>
      <c r="AH770" s="39"/>
      <c r="AI770" s="39"/>
      <c r="AJ770" s="39"/>
      <c r="AK770" s="39"/>
      <c r="AL770" s="39"/>
      <c r="AM770" s="39"/>
      <c r="AN770" s="39"/>
      <c r="AO770" s="39">
        <v>0.27</v>
      </c>
      <c r="AP770" s="39"/>
      <c r="AQ770" s="39"/>
      <c r="AR770" s="39"/>
      <c r="AS770" s="39"/>
      <c r="AT770" s="39"/>
      <c r="AU770" s="39"/>
      <c r="AV770" s="39"/>
      <c r="AW770" s="39"/>
      <c r="AX770" s="39"/>
      <c r="AY770" s="39"/>
      <c r="AZ770" s="39"/>
      <c r="BA770" s="39"/>
      <c r="BB770" s="39"/>
      <c r="BC770" s="39"/>
      <c r="BD770" s="39"/>
      <c r="BE770" s="39">
        <v>0.15</v>
      </c>
      <c r="BF770" s="39"/>
      <c r="BG770" s="39"/>
      <c r="BH770" s="39"/>
      <c r="BI770" s="39"/>
      <c r="BJ770" s="78">
        <f t="shared" si="95"/>
        <v>0</v>
      </c>
      <c r="BK770" s="39"/>
      <c r="BL770" s="44">
        <v>41</v>
      </c>
      <c r="BM770" s="79">
        <f t="shared" si="96"/>
        <v>0</v>
      </c>
      <c r="BN770" s="75"/>
      <c r="BO770" s="75"/>
    </row>
    <row r="771" spans="1:67" s="4" customFormat="1" ht="31.2" x14ac:dyDescent="0.3">
      <c r="A771" s="48">
        <v>56</v>
      </c>
      <c r="B771" s="50" t="s">
        <v>569</v>
      </c>
      <c r="C771" s="39" t="s">
        <v>29</v>
      </c>
      <c r="D771" s="39">
        <v>1.5</v>
      </c>
      <c r="E771" s="39"/>
      <c r="F771" s="39">
        <v>1.5</v>
      </c>
      <c r="G771" s="39">
        <v>0.4</v>
      </c>
      <c r="H771" s="39"/>
      <c r="I771" s="39"/>
      <c r="J771" s="39">
        <v>1.1000000000000001</v>
      </c>
      <c r="K771" s="50" t="s">
        <v>163</v>
      </c>
      <c r="L771" s="50" t="s">
        <v>154</v>
      </c>
      <c r="M771" s="110" t="s">
        <v>162</v>
      </c>
      <c r="N771" s="211">
        <v>602</v>
      </c>
      <c r="O771" s="110"/>
      <c r="P771" s="39"/>
      <c r="Q771" s="39"/>
      <c r="R771" s="39"/>
      <c r="S771" s="39"/>
      <c r="T771" s="39"/>
      <c r="U771" s="39"/>
      <c r="V771" s="39"/>
      <c r="W771" s="39"/>
      <c r="X771" s="39"/>
      <c r="Y771" s="39"/>
      <c r="Z771" s="39">
        <v>0.9</v>
      </c>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39"/>
      <c r="BC771" s="39"/>
      <c r="BD771" s="39">
        <v>0.2</v>
      </c>
      <c r="BE771" s="39"/>
      <c r="BF771" s="39"/>
      <c r="BG771" s="39"/>
      <c r="BH771" s="39"/>
      <c r="BI771" s="39"/>
      <c r="BJ771" s="78">
        <f t="shared" si="95"/>
        <v>0</v>
      </c>
      <c r="BK771" s="39"/>
      <c r="BL771" s="44">
        <v>41</v>
      </c>
      <c r="BM771" s="79">
        <f t="shared" si="96"/>
        <v>0</v>
      </c>
      <c r="BN771" s="75"/>
      <c r="BO771" s="75"/>
    </row>
    <row r="772" spans="1:67" s="4" customFormat="1" ht="31.2" x14ac:dyDescent="0.3">
      <c r="A772" s="48">
        <v>57</v>
      </c>
      <c r="B772" s="50" t="s">
        <v>570</v>
      </c>
      <c r="C772" s="39" t="s">
        <v>29</v>
      </c>
      <c r="D772" s="41">
        <v>0.85</v>
      </c>
      <c r="E772" s="41"/>
      <c r="F772" s="41">
        <v>0.85</v>
      </c>
      <c r="G772" s="39">
        <v>0.85</v>
      </c>
      <c r="H772" s="39"/>
      <c r="I772" s="39"/>
      <c r="J772" s="39">
        <v>0</v>
      </c>
      <c r="K772" s="50" t="s">
        <v>178</v>
      </c>
      <c r="L772" s="50" t="s">
        <v>179</v>
      </c>
      <c r="M772" s="110" t="s">
        <v>177</v>
      </c>
      <c r="N772" s="211">
        <v>603</v>
      </c>
      <c r="O772" s="110"/>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39"/>
      <c r="BC772" s="39"/>
      <c r="BD772" s="39"/>
      <c r="BE772" s="39"/>
      <c r="BF772" s="39"/>
      <c r="BG772" s="39"/>
      <c r="BH772" s="39"/>
      <c r="BI772" s="39"/>
      <c r="BJ772" s="78">
        <f t="shared" si="95"/>
        <v>0</v>
      </c>
      <c r="BK772" s="84"/>
      <c r="BL772" s="44">
        <v>41</v>
      </c>
      <c r="BM772" s="79">
        <f t="shared" si="96"/>
        <v>0</v>
      </c>
      <c r="BN772" s="75"/>
      <c r="BO772" s="75"/>
    </row>
    <row r="773" spans="1:67" s="4" customFormat="1" ht="46.8" x14ac:dyDescent="0.3">
      <c r="A773" s="48">
        <v>58</v>
      </c>
      <c r="B773" s="50" t="s">
        <v>571</v>
      </c>
      <c r="C773" s="39" t="s">
        <v>29</v>
      </c>
      <c r="D773" s="41">
        <v>1.5</v>
      </c>
      <c r="E773" s="41"/>
      <c r="F773" s="41">
        <v>1.5</v>
      </c>
      <c r="G773" s="39">
        <v>1.5</v>
      </c>
      <c r="H773" s="39"/>
      <c r="I773" s="39"/>
      <c r="J773" s="39">
        <v>0</v>
      </c>
      <c r="K773" s="50" t="s">
        <v>181</v>
      </c>
      <c r="L773" s="50" t="s">
        <v>179</v>
      </c>
      <c r="M773" s="110" t="s">
        <v>180</v>
      </c>
      <c r="N773" s="211">
        <v>604</v>
      </c>
      <c r="O773" s="110"/>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39"/>
      <c r="BC773" s="39"/>
      <c r="BD773" s="39"/>
      <c r="BE773" s="39"/>
      <c r="BF773" s="39"/>
      <c r="BG773" s="39"/>
      <c r="BH773" s="39"/>
      <c r="BI773" s="39"/>
      <c r="BJ773" s="78">
        <f t="shared" si="95"/>
        <v>0</v>
      </c>
      <c r="BK773" s="84"/>
      <c r="BL773" s="44">
        <v>41</v>
      </c>
      <c r="BM773" s="79">
        <f t="shared" si="96"/>
        <v>0</v>
      </c>
      <c r="BN773" s="75"/>
      <c r="BO773" s="75"/>
    </row>
    <row r="774" spans="1:67" s="4" customFormat="1" ht="31.2" x14ac:dyDescent="0.3">
      <c r="A774" s="48">
        <v>59</v>
      </c>
      <c r="B774" s="50" t="s">
        <v>572</v>
      </c>
      <c r="C774" s="39" t="s">
        <v>29</v>
      </c>
      <c r="D774" s="41">
        <v>4.9000000000000004</v>
      </c>
      <c r="E774" s="41"/>
      <c r="F774" s="41">
        <v>4.9000000000000004</v>
      </c>
      <c r="G774" s="41">
        <v>4.9000000000000004</v>
      </c>
      <c r="H774" s="39"/>
      <c r="I774" s="39"/>
      <c r="J774" s="39">
        <v>0</v>
      </c>
      <c r="K774" s="50" t="s">
        <v>181</v>
      </c>
      <c r="L774" s="50" t="s">
        <v>179</v>
      </c>
      <c r="M774" s="110">
        <v>42</v>
      </c>
      <c r="N774" s="211">
        <v>605</v>
      </c>
      <c r="O774" s="110"/>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c r="BC774" s="39"/>
      <c r="BD774" s="39"/>
      <c r="BE774" s="39"/>
      <c r="BF774" s="39"/>
      <c r="BG774" s="39"/>
      <c r="BH774" s="39"/>
      <c r="BI774" s="39"/>
      <c r="BJ774" s="78">
        <f t="shared" si="95"/>
        <v>0</v>
      </c>
      <c r="BK774" s="84"/>
      <c r="BL774" s="44">
        <v>41</v>
      </c>
      <c r="BM774" s="79">
        <f t="shared" si="96"/>
        <v>0</v>
      </c>
      <c r="BN774" s="75"/>
      <c r="BO774" s="75"/>
    </row>
    <row r="775" spans="1:67" s="4" customFormat="1" ht="31.2" x14ac:dyDescent="0.3">
      <c r="A775" s="48">
        <v>60</v>
      </c>
      <c r="B775" s="50" t="s">
        <v>573</v>
      </c>
      <c r="C775" s="39" t="s">
        <v>29</v>
      </c>
      <c r="D775" s="41">
        <v>0.9</v>
      </c>
      <c r="E775" s="41"/>
      <c r="F775" s="41">
        <v>0.9</v>
      </c>
      <c r="G775" s="39">
        <v>0.9</v>
      </c>
      <c r="H775" s="39"/>
      <c r="I775" s="39"/>
      <c r="J775" s="39">
        <v>0</v>
      </c>
      <c r="K775" s="50" t="s">
        <v>182</v>
      </c>
      <c r="L775" s="50" t="s">
        <v>179</v>
      </c>
      <c r="M775" s="110">
        <v>46</v>
      </c>
      <c r="N775" s="211">
        <v>606</v>
      </c>
      <c r="O775" s="110"/>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c r="BC775" s="39"/>
      <c r="BD775" s="39"/>
      <c r="BE775" s="39"/>
      <c r="BF775" s="39"/>
      <c r="BG775" s="39"/>
      <c r="BH775" s="39"/>
      <c r="BI775" s="39"/>
      <c r="BJ775" s="78">
        <f t="shared" si="95"/>
        <v>0</v>
      </c>
      <c r="BK775" s="84"/>
      <c r="BL775" s="44">
        <v>41</v>
      </c>
      <c r="BM775" s="79">
        <f t="shared" si="96"/>
        <v>0</v>
      </c>
      <c r="BN775" s="75"/>
      <c r="BO775" s="75"/>
    </row>
    <row r="776" spans="1:67" s="4" customFormat="1" x14ac:dyDescent="0.3">
      <c r="A776" s="48">
        <v>61</v>
      </c>
      <c r="B776" s="50" t="s">
        <v>574</v>
      </c>
      <c r="C776" s="39" t="s">
        <v>29</v>
      </c>
      <c r="D776" s="41">
        <v>1.9</v>
      </c>
      <c r="E776" s="41"/>
      <c r="F776" s="41">
        <v>1.9</v>
      </c>
      <c r="G776" s="39">
        <v>1.4</v>
      </c>
      <c r="H776" s="39"/>
      <c r="I776" s="39"/>
      <c r="J776" s="39">
        <v>0.5</v>
      </c>
      <c r="K776" s="50" t="s">
        <v>184</v>
      </c>
      <c r="L776" s="50" t="s">
        <v>179</v>
      </c>
      <c r="M776" s="110" t="s">
        <v>183</v>
      </c>
      <c r="N776" s="211">
        <v>607</v>
      </c>
      <c r="O776" s="110"/>
      <c r="P776" s="39"/>
      <c r="Q776" s="39"/>
      <c r="R776" s="39"/>
      <c r="S776" s="39"/>
      <c r="T776" s="39"/>
      <c r="U776" s="39"/>
      <c r="V776" s="39"/>
      <c r="W776" s="39"/>
      <c r="X776" s="39"/>
      <c r="Y776" s="39"/>
      <c r="Z776" s="39">
        <v>0.5</v>
      </c>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39"/>
      <c r="BC776" s="39"/>
      <c r="BD776" s="39"/>
      <c r="BE776" s="39"/>
      <c r="BF776" s="39"/>
      <c r="BG776" s="39"/>
      <c r="BH776" s="39"/>
      <c r="BI776" s="39"/>
      <c r="BJ776" s="78">
        <f t="shared" si="95"/>
        <v>0</v>
      </c>
      <c r="BK776" s="84"/>
      <c r="BL776" s="44">
        <v>41</v>
      </c>
      <c r="BM776" s="79">
        <f t="shared" si="96"/>
        <v>0</v>
      </c>
      <c r="BN776" s="75"/>
      <c r="BO776" s="75"/>
    </row>
    <row r="777" spans="1:67" s="4" customFormat="1" ht="46.8" x14ac:dyDescent="0.3">
      <c r="A777" s="48">
        <v>62</v>
      </c>
      <c r="B777" s="50" t="s">
        <v>575</v>
      </c>
      <c r="C777" s="39" t="s">
        <v>29</v>
      </c>
      <c r="D777" s="41">
        <v>2.1</v>
      </c>
      <c r="E777" s="41"/>
      <c r="F777" s="41">
        <v>2.1</v>
      </c>
      <c r="G777" s="39">
        <v>1.7</v>
      </c>
      <c r="H777" s="39"/>
      <c r="I777" s="39"/>
      <c r="J777" s="39">
        <v>0.4</v>
      </c>
      <c r="K777" s="50" t="s">
        <v>184</v>
      </c>
      <c r="L777" s="50" t="s">
        <v>179</v>
      </c>
      <c r="M777" s="110" t="s">
        <v>185</v>
      </c>
      <c r="N777" s="211">
        <v>608</v>
      </c>
      <c r="O777" s="110"/>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v>0.4</v>
      </c>
      <c r="AP777" s="39"/>
      <c r="AQ777" s="39"/>
      <c r="AR777" s="39"/>
      <c r="AS777" s="39"/>
      <c r="AT777" s="39"/>
      <c r="AU777" s="39"/>
      <c r="AV777" s="39"/>
      <c r="AW777" s="39"/>
      <c r="AX777" s="39"/>
      <c r="AY777" s="39"/>
      <c r="AZ777" s="39"/>
      <c r="BA777" s="39"/>
      <c r="BB777" s="39"/>
      <c r="BC777" s="39"/>
      <c r="BD777" s="39"/>
      <c r="BE777" s="39"/>
      <c r="BF777" s="39"/>
      <c r="BG777" s="39"/>
      <c r="BH777" s="39"/>
      <c r="BI777" s="39"/>
      <c r="BJ777" s="78">
        <f t="shared" si="95"/>
        <v>0</v>
      </c>
      <c r="BK777" s="84"/>
      <c r="BL777" s="44">
        <v>41</v>
      </c>
      <c r="BM777" s="79">
        <f t="shared" si="96"/>
        <v>0</v>
      </c>
      <c r="BN777" s="75"/>
      <c r="BO777" s="75"/>
    </row>
    <row r="778" spans="1:67" s="4" customFormat="1" ht="46.8" x14ac:dyDescent="0.3">
      <c r="A778" s="48">
        <v>63</v>
      </c>
      <c r="B778" s="50" t="s">
        <v>576</v>
      </c>
      <c r="C778" s="39" t="s">
        <v>29</v>
      </c>
      <c r="D778" s="41">
        <v>4.5999999999999996</v>
      </c>
      <c r="E778" s="41"/>
      <c r="F778" s="41">
        <v>4.5999999999999996</v>
      </c>
      <c r="G778" s="39">
        <v>4.3</v>
      </c>
      <c r="H778" s="39"/>
      <c r="I778" s="39"/>
      <c r="J778" s="39">
        <v>0.3</v>
      </c>
      <c r="K778" s="50" t="s">
        <v>187</v>
      </c>
      <c r="L778" s="50" t="s">
        <v>179</v>
      </c>
      <c r="M778" s="110" t="s">
        <v>186</v>
      </c>
      <c r="N778" s="211">
        <v>609</v>
      </c>
      <c r="O778" s="110"/>
      <c r="P778" s="39"/>
      <c r="Q778" s="39"/>
      <c r="R778" s="39"/>
      <c r="S778" s="39"/>
      <c r="T778" s="39"/>
      <c r="U778" s="39"/>
      <c r="V778" s="39"/>
      <c r="W778" s="39"/>
      <c r="X778" s="39"/>
      <c r="Y778" s="39"/>
      <c r="Z778" s="39">
        <v>0.3</v>
      </c>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39"/>
      <c r="BC778" s="39"/>
      <c r="BD778" s="39"/>
      <c r="BE778" s="39"/>
      <c r="BF778" s="39"/>
      <c r="BG778" s="39"/>
      <c r="BH778" s="39"/>
      <c r="BI778" s="39"/>
      <c r="BJ778" s="78">
        <f t="shared" si="95"/>
        <v>0</v>
      </c>
      <c r="BK778" s="84"/>
      <c r="BL778" s="44">
        <v>41</v>
      </c>
      <c r="BM778" s="79">
        <f t="shared" si="96"/>
        <v>0</v>
      </c>
      <c r="BN778" s="75"/>
      <c r="BO778" s="75"/>
    </row>
    <row r="779" spans="1:67" s="4" customFormat="1" ht="78" x14ac:dyDescent="0.3">
      <c r="A779" s="48">
        <v>64</v>
      </c>
      <c r="B779" s="50" t="s">
        <v>577</v>
      </c>
      <c r="C779" s="39" t="s">
        <v>29</v>
      </c>
      <c r="D779" s="41">
        <v>2.3199999999999998</v>
      </c>
      <c r="E779" s="41"/>
      <c r="F779" s="41">
        <v>2.3199999999999998</v>
      </c>
      <c r="G779" s="39">
        <v>0.84</v>
      </c>
      <c r="H779" s="39"/>
      <c r="I779" s="39"/>
      <c r="J779" s="39">
        <v>1.48</v>
      </c>
      <c r="K779" s="50" t="s">
        <v>189</v>
      </c>
      <c r="L779" s="50" t="s">
        <v>179</v>
      </c>
      <c r="M779" s="110" t="s">
        <v>188</v>
      </c>
      <c r="N779" s="211">
        <v>610</v>
      </c>
      <c r="O779" s="110"/>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v>0.5</v>
      </c>
      <c r="AP779" s="39"/>
      <c r="AQ779" s="39"/>
      <c r="AR779" s="39"/>
      <c r="AS779" s="39"/>
      <c r="AT779" s="39"/>
      <c r="AU779" s="39"/>
      <c r="AV779" s="39"/>
      <c r="AW779" s="39">
        <v>0.18</v>
      </c>
      <c r="AX779" s="39"/>
      <c r="AY779" s="39"/>
      <c r="AZ779" s="39"/>
      <c r="BA779" s="39"/>
      <c r="BB779" s="39"/>
      <c r="BC779" s="39"/>
      <c r="BD779" s="39"/>
      <c r="BE779" s="39">
        <v>0.8</v>
      </c>
      <c r="BF779" s="39"/>
      <c r="BG779" s="39"/>
      <c r="BH779" s="39"/>
      <c r="BI779" s="39"/>
      <c r="BJ779" s="78">
        <f t="shared" si="95"/>
        <v>0</v>
      </c>
      <c r="BK779" s="84"/>
      <c r="BL779" s="44">
        <v>41</v>
      </c>
      <c r="BM779" s="79">
        <f t="shared" si="96"/>
        <v>0</v>
      </c>
      <c r="BN779" s="75"/>
      <c r="BO779" s="75"/>
    </row>
    <row r="780" spans="1:67" s="4" customFormat="1" ht="31.2" x14ac:dyDescent="0.3">
      <c r="A780" s="48">
        <v>65</v>
      </c>
      <c r="B780" s="50" t="s">
        <v>578</v>
      </c>
      <c r="C780" s="39" t="s">
        <v>29</v>
      </c>
      <c r="D780" s="39">
        <v>2.2999999999999998</v>
      </c>
      <c r="E780" s="39"/>
      <c r="F780" s="39">
        <v>2.2999999999999998</v>
      </c>
      <c r="G780" s="39">
        <v>2.2999999999999998</v>
      </c>
      <c r="H780" s="39"/>
      <c r="I780" s="39"/>
      <c r="J780" s="39">
        <v>0</v>
      </c>
      <c r="K780" s="50" t="s">
        <v>189</v>
      </c>
      <c r="L780" s="50" t="s">
        <v>179</v>
      </c>
      <c r="M780" s="110">
        <v>70</v>
      </c>
      <c r="N780" s="211">
        <v>611</v>
      </c>
      <c r="O780" s="110"/>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c r="BC780" s="39"/>
      <c r="BD780" s="39"/>
      <c r="BE780" s="39"/>
      <c r="BF780" s="39"/>
      <c r="BG780" s="39"/>
      <c r="BH780" s="39"/>
      <c r="BI780" s="39"/>
      <c r="BJ780" s="78">
        <f t="shared" si="95"/>
        <v>0</v>
      </c>
      <c r="BK780" s="84"/>
      <c r="BL780" s="44">
        <v>41</v>
      </c>
      <c r="BM780" s="79">
        <f t="shared" si="96"/>
        <v>0</v>
      </c>
      <c r="BN780" s="75"/>
      <c r="BO780" s="75"/>
    </row>
    <row r="781" spans="1:67" s="4" customFormat="1" ht="140.4" x14ac:dyDescent="0.3">
      <c r="A781" s="48">
        <v>66</v>
      </c>
      <c r="B781" s="50" t="s">
        <v>306</v>
      </c>
      <c r="C781" s="39" t="s">
        <v>29</v>
      </c>
      <c r="D781" s="39">
        <v>3.82</v>
      </c>
      <c r="E781" s="39"/>
      <c r="F781" s="39">
        <v>3.82</v>
      </c>
      <c r="G781" s="39">
        <v>3.82</v>
      </c>
      <c r="H781" s="39"/>
      <c r="I781" s="39"/>
      <c r="J781" s="39">
        <v>0</v>
      </c>
      <c r="K781" s="50" t="s">
        <v>1053</v>
      </c>
      <c r="L781" s="50" t="s">
        <v>179</v>
      </c>
      <c r="M781" s="110" t="s">
        <v>190</v>
      </c>
      <c r="N781" s="211">
        <v>612</v>
      </c>
      <c r="O781" s="110"/>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39"/>
      <c r="BC781" s="39"/>
      <c r="BD781" s="39"/>
      <c r="BE781" s="39"/>
      <c r="BF781" s="39"/>
      <c r="BG781" s="39"/>
      <c r="BH781" s="39"/>
      <c r="BI781" s="39"/>
      <c r="BJ781" s="78">
        <f t="shared" si="95"/>
        <v>0</v>
      </c>
      <c r="BK781" s="84"/>
      <c r="BL781" s="44">
        <v>41</v>
      </c>
      <c r="BM781" s="79">
        <f t="shared" si="96"/>
        <v>0</v>
      </c>
      <c r="BN781" s="75"/>
      <c r="BO781" s="75"/>
    </row>
    <row r="782" spans="1:67" s="4" customFormat="1" ht="31.2" x14ac:dyDescent="0.3">
      <c r="A782" s="48">
        <v>67</v>
      </c>
      <c r="B782" s="42" t="s">
        <v>352</v>
      </c>
      <c r="C782" s="39" t="s">
        <v>29</v>
      </c>
      <c r="D782" s="39">
        <v>3.45</v>
      </c>
      <c r="E782" s="39"/>
      <c r="F782" s="39">
        <v>3.45</v>
      </c>
      <c r="G782" s="39">
        <v>0.16</v>
      </c>
      <c r="H782" s="39"/>
      <c r="I782" s="39"/>
      <c r="J782" s="39">
        <v>3.29</v>
      </c>
      <c r="K782" s="92" t="s">
        <v>111</v>
      </c>
      <c r="L782" s="50" t="s">
        <v>179</v>
      </c>
      <c r="M782" s="110">
        <v>23</v>
      </c>
      <c r="N782" s="211">
        <v>613</v>
      </c>
      <c r="O782" s="110"/>
      <c r="P782" s="39"/>
      <c r="Q782" s="39"/>
      <c r="R782" s="39"/>
      <c r="S782" s="39"/>
      <c r="T782" s="39"/>
      <c r="U782" s="39"/>
      <c r="V782" s="39"/>
      <c r="W782" s="39"/>
      <c r="X782" s="39"/>
      <c r="Y782" s="39"/>
      <c r="Z782" s="39">
        <v>0.79</v>
      </c>
      <c r="AA782" s="39">
        <v>0.5</v>
      </c>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39"/>
      <c r="AY782" s="39"/>
      <c r="AZ782" s="39"/>
      <c r="BA782" s="39"/>
      <c r="BB782" s="39"/>
      <c r="BC782" s="39"/>
      <c r="BD782" s="39"/>
      <c r="BE782" s="39">
        <v>2</v>
      </c>
      <c r="BF782" s="39"/>
      <c r="BG782" s="39"/>
      <c r="BH782" s="39"/>
      <c r="BI782" s="39"/>
      <c r="BJ782" s="78">
        <f t="shared" si="95"/>
        <v>0</v>
      </c>
      <c r="BK782" s="84"/>
      <c r="BL782" s="44">
        <v>41</v>
      </c>
      <c r="BM782" s="79">
        <f t="shared" si="96"/>
        <v>0</v>
      </c>
      <c r="BN782" s="75"/>
      <c r="BO782" s="75"/>
    </row>
    <row r="783" spans="1:67" s="4" customFormat="1" ht="40.5" customHeight="1" x14ac:dyDescent="0.3">
      <c r="A783" s="48">
        <v>68</v>
      </c>
      <c r="B783" s="50" t="s">
        <v>306</v>
      </c>
      <c r="C783" s="39" t="s">
        <v>29</v>
      </c>
      <c r="D783" s="39">
        <v>2.6</v>
      </c>
      <c r="E783" s="39"/>
      <c r="F783" s="39">
        <v>2.6</v>
      </c>
      <c r="G783" s="39">
        <v>2.6</v>
      </c>
      <c r="H783" s="39"/>
      <c r="I783" s="39"/>
      <c r="J783" s="39">
        <v>0</v>
      </c>
      <c r="K783" s="50" t="s">
        <v>809</v>
      </c>
      <c r="L783" s="50" t="s">
        <v>179</v>
      </c>
      <c r="M783" s="110">
        <v>24</v>
      </c>
      <c r="N783" s="211">
        <v>614</v>
      </c>
      <c r="O783" s="110"/>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39"/>
      <c r="BC783" s="39"/>
      <c r="BD783" s="39"/>
      <c r="BE783" s="39"/>
      <c r="BF783" s="39"/>
      <c r="BG783" s="39"/>
      <c r="BH783" s="39"/>
      <c r="BI783" s="39"/>
      <c r="BJ783" s="78">
        <f t="shared" si="95"/>
        <v>0</v>
      </c>
      <c r="BK783" s="84"/>
      <c r="BL783" s="44">
        <v>41</v>
      </c>
      <c r="BM783" s="79">
        <f t="shared" si="96"/>
        <v>0</v>
      </c>
      <c r="BN783" s="75"/>
      <c r="BO783" s="75"/>
    </row>
    <row r="784" spans="1:67" s="4" customFormat="1" ht="31.2" x14ac:dyDescent="0.3">
      <c r="A784" s="48">
        <v>69</v>
      </c>
      <c r="B784" s="50" t="s">
        <v>306</v>
      </c>
      <c r="C784" s="39" t="s">
        <v>29</v>
      </c>
      <c r="D784" s="39">
        <v>0.6</v>
      </c>
      <c r="E784" s="39"/>
      <c r="F784" s="39">
        <v>0.6</v>
      </c>
      <c r="G784" s="39">
        <v>0.6</v>
      </c>
      <c r="H784" s="39"/>
      <c r="I784" s="39"/>
      <c r="J784" s="39">
        <v>0</v>
      </c>
      <c r="K784" s="50" t="s">
        <v>191</v>
      </c>
      <c r="L784" s="50" t="s">
        <v>179</v>
      </c>
      <c r="M784" s="110">
        <v>27</v>
      </c>
      <c r="N784" s="211">
        <v>615</v>
      </c>
      <c r="O784" s="110"/>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39"/>
      <c r="BC784" s="39"/>
      <c r="BD784" s="39"/>
      <c r="BE784" s="39"/>
      <c r="BF784" s="39"/>
      <c r="BG784" s="39"/>
      <c r="BH784" s="39"/>
      <c r="BI784" s="39"/>
      <c r="BJ784" s="78">
        <f t="shared" si="95"/>
        <v>0</v>
      </c>
      <c r="BK784" s="84"/>
      <c r="BL784" s="44">
        <v>41</v>
      </c>
      <c r="BM784" s="79">
        <f t="shared" si="96"/>
        <v>0</v>
      </c>
      <c r="BN784" s="75"/>
      <c r="BO784" s="75"/>
    </row>
    <row r="785" spans="1:67" s="4" customFormat="1" x14ac:dyDescent="0.3">
      <c r="A785" s="48">
        <v>70</v>
      </c>
      <c r="B785" s="50" t="s">
        <v>306</v>
      </c>
      <c r="C785" s="39" t="s">
        <v>29</v>
      </c>
      <c r="D785" s="39">
        <v>0.5</v>
      </c>
      <c r="E785" s="39"/>
      <c r="F785" s="39">
        <v>0.5</v>
      </c>
      <c r="G785" s="39">
        <v>0.5</v>
      </c>
      <c r="H785" s="39"/>
      <c r="I785" s="81"/>
      <c r="J785" s="39">
        <v>0</v>
      </c>
      <c r="K785" s="50" t="s">
        <v>192</v>
      </c>
      <c r="L785" s="50" t="s">
        <v>179</v>
      </c>
      <c r="M785" s="48">
        <v>29</v>
      </c>
      <c r="N785" s="206">
        <v>616</v>
      </c>
      <c r="O785" s="48"/>
      <c r="P785" s="81"/>
      <c r="Q785" s="81"/>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c r="BG785" s="81"/>
      <c r="BH785" s="81"/>
      <c r="BI785" s="81"/>
      <c r="BJ785" s="78">
        <f t="shared" si="95"/>
        <v>0</v>
      </c>
      <c r="BK785" s="84"/>
      <c r="BL785" s="44">
        <v>41</v>
      </c>
      <c r="BM785" s="79">
        <f t="shared" si="96"/>
        <v>0</v>
      </c>
      <c r="BN785" s="75"/>
      <c r="BO785" s="75"/>
    </row>
    <row r="786" spans="1:67" s="4" customFormat="1" ht="93.6" x14ac:dyDescent="0.3">
      <c r="A786" s="48">
        <v>71</v>
      </c>
      <c r="B786" s="50" t="s">
        <v>306</v>
      </c>
      <c r="C786" s="41" t="s">
        <v>29</v>
      </c>
      <c r="D786" s="41">
        <v>1.06</v>
      </c>
      <c r="E786" s="41"/>
      <c r="F786" s="41">
        <v>1.06</v>
      </c>
      <c r="G786" s="41">
        <v>1.06</v>
      </c>
      <c r="H786" s="41"/>
      <c r="I786" s="41"/>
      <c r="J786" s="39">
        <v>0</v>
      </c>
      <c r="K786" s="50" t="s">
        <v>1054</v>
      </c>
      <c r="L786" s="50" t="s">
        <v>179</v>
      </c>
      <c r="M786" s="110" t="s">
        <v>193</v>
      </c>
      <c r="N786" s="211">
        <v>617</v>
      </c>
      <c r="O786" s="110"/>
      <c r="P786" s="50"/>
      <c r="Q786" s="50"/>
      <c r="R786" s="50"/>
      <c r="S786" s="50"/>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78">
        <f t="shared" si="95"/>
        <v>0</v>
      </c>
      <c r="BK786" s="84"/>
      <c r="BL786" s="44">
        <v>41</v>
      </c>
      <c r="BM786" s="79">
        <f t="shared" si="96"/>
        <v>0</v>
      </c>
      <c r="BN786" s="75"/>
      <c r="BO786" s="75"/>
    </row>
    <row r="787" spans="1:67" s="4" customFormat="1" ht="31.2" x14ac:dyDescent="0.3">
      <c r="A787" s="48">
        <v>72</v>
      </c>
      <c r="B787" s="50" t="s">
        <v>579</v>
      </c>
      <c r="C787" s="39" t="s">
        <v>29</v>
      </c>
      <c r="D787" s="41">
        <v>7.5</v>
      </c>
      <c r="E787" s="41"/>
      <c r="F787" s="41">
        <v>7.5</v>
      </c>
      <c r="G787" s="39">
        <v>4.5</v>
      </c>
      <c r="H787" s="39"/>
      <c r="I787" s="39"/>
      <c r="J787" s="39">
        <v>3</v>
      </c>
      <c r="K787" s="50" t="s">
        <v>209</v>
      </c>
      <c r="L787" s="50" t="s">
        <v>208</v>
      </c>
      <c r="M787" s="110">
        <v>12</v>
      </c>
      <c r="N787" s="211">
        <v>618</v>
      </c>
      <c r="O787" s="110"/>
      <c r="P787" s="39"/>
      <c r="Q787" s="39"/>
      <c r="R787" s="39"/>
      <c r="S787" s="39"/>
      <c r="T787" s="39"/>
      <c r="U787" s="39"/>
      <c r="V787" s="39"/>
      <c r="W787" s="39"/>
      <c r="X787" s="39"/>
      <c r="Y787" s="39"/>
      <c r="Z787" s="39">
        <v>3</v>
      </c>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39"/>
      <c r="BC787" s="39"/>
      <c r="BD787" s="39"/>
      <c r="BE787" s="39"/>
      <c r="BF787" s="39"/>
      <c r="BG787" s="39"/>
      <c r="BH787" s="39"/>
      <c r="BI787" s="39"/>
      <c r="BJ787" s="78">
        <f t="shared" si="95"/>
        <v>0</v>
      </c>
      <c r="BK787" s="84"/>
      <c r="BL787" s="44">
        <v>41</v>
      </c>
      <c r="BM787" s="79">
        <f t="shared" si="96"/>
        <v>0</v>
      </c>
      <c r="BN787" s="75"/>
      <c r="BO787" s="75"/>
    </row>
    <row r="788" spans="1:67" s="4" customFormat="1" ht="46.8" x14ac:dyDescent="0.3">
      <c r="A788" s="48">
        <v>73</v>
      </c>
      <c r="B788" s="50" t="s">
        <v>580</v>
      </c>
      <c r="C788" s="39" t="s">
        <v>29</v>
      </c>
      <c r="D788" s="41">
        <v>1.28</v>
      </c>
      <c r="E788" s="41"/>
      <c r="F788" s="41">
        <v>1.28</v>
      </c>
      <c r="G788" s="39"/>
      <c r="H788" s="39"/>
      <c r="I788" s="39"/>
      <c r="J788" s="39">
        <v>1.2799999999999998</v>
      </c>
      <c r="K788" s="50" t="s">
        <v>209</v>
      </c>
      <c r="L788" s="50" t="s">
        <v>208</v>
      </c>
      <c r="M788" s="110" t="s">
        <v>216</v>
      </c>
      <c r="N788" s="211">
        <v>619</v>
      </c>
      <c r="O788" s="110"/>
      <c r="P788" s="39"/>
      <c r="Q788" s="39"/>
      <c r="R788" s="39"/>
      <c r="S788" s="39"/>
      <c r="T788" s="39"/>
      <c r="U788" s="39"/>
      <c r="V788" s="39"/>
      <c r="W788" s="39"/>
      <c r="X788" s="39"/>
      <c r="Y788" s="39"/>
      <c r="Z788" s="39">
        <v>0.2</v>
      </c>
      <c r="AA788" s="39">
        <v>0.73</v>
      </c>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c r="BC788" s="39"/>
      <c r="BD788" s="39"/>
      <c r="BE788" s="39">
        <v>0.35</v>
      </c>
      <c r="BF788" s="39"/>
      <c r="BG788" s="39"/>
      <c r="BH788" s="39"/>
      <c r="BI788" s="39"/>
      <c r="BJ788" s="78">
        <f t="shared" si="95"/>
        <v>0</v>
      </c>
      <c r="BK788" s="84"/>
      <c r="BL788" s="44">
        <v>41</v>
      </c>
      <c r="BM788" s="79">
        <f t="shared" si="96"/>
        <v>0</v>
      </c>
      <c r="BN788" s="75"/>
      <c r="BO788" s="75"/>
    </row>
    <row r="789" spans="1:67" s="4" customFormat="1" ht="46.8" x14ac:dyDescent="0.3">
      <c r="A789" s="48">
        <v>74</v>
      </c>
      <c r="B789" s="50" t="s">
        <v>581</v>
      </c>
      <c r="C789" s="39" t="s">
        <v>29</v>
      </c>
      <c r="D789" s="41">
        <v>2.7</v>
      </c>
      <c r="E789" s="41"/>
      <c r="F789" s="41">
        <v>2.7</v>
      </c>
      <c r="G789" s="39"/>
      <c r="H789" s="39"/>
      <c r="I789" s="39"/>
      <c r="J789" s="39">
        <v>2.7</v>
      </c>
      <c r="K789" s="50" t="s">
        <v>209</v>
      </c>
      <c r="L789" s="50" t="s">
        <v>208</v>
      </c>
      <c r="M789" s="110" t="s">
        <v>217</v>
      </c>
      <c r="N789" s="211">
        <v>620</v>
      </c>
      <c r="O789" s="110"/>
      <c r="P789" s="39"/>
      <c r="Q789" s="39"/>
      <c r="R789" s="39"/>
      <c r="S789" s="39"/>
      <c r="T789" s="39"/>
      <c r="U789" s="39"/>
      <c r="V789" s="39"/>
      <c r="W789" s="39"/>
      <c r="X789" s="39"/>
      <c r="Y789" s="39"/>
      <c r="Z789" s="39"/>
      <c r="AA789" s="39">
        <v>0.22</v>
      </c>
      <c r="AB789" s="39"/>
      <c r="AC789" s="39"/>
      <c r="AD789" s="39"/>
      <c r="AE789" s="39"/>
      <c r="AF789" s="39"/>
      <c r="AG789" s="39"/>
      <c r="AH789" s="39"/>
      <c r="AI789" s="39"/>
      <c r="AJ789" s="39"/>
      <c r="AK789" s="39"/>
      <c r="AL789" s="39"/>
      <c r="AM789" s="39"/>
      <c r="AN789" s="39"/>
      <c r="AO789" s="39">
        <v>0.68</v>
      </c>
      <c r="AP789" s="39"/>
      <c r="AQ789" s="39"/>
      <c r="AR789" s="39"/>
      <c r="AS789" s="39"/>
      <c r="AT789" s="39"/>
      <c r="AU789" s="39"/>
      <c r="AV789" s="39"/>
      <c r="AW789" s="39"/>
      <c r="AX789" s="39"/>
      <c r="AY789" s="39"/>
      <c r="AZ789" s="39"/>
      <c r="BA789" s="39"/>
      <c r="BB789" s="39"/>
      <c r="BC789" s="39"/>
      <c r="BD789" s="39"/>
      <c r="BE789" s="39"/>
      <c r="BF789" s="39"/>
      <c r="BG789" s="39">
        <v>1.8</v>
      </c>
      <c r="BH789" s="39"/>
      <c r="BI789" s="39"/>
      <c r="BJ789" s="78">
        <f t="shared" si="95"/>
        <v>0</v>
      </c>
      <c r="BK789" s="84"/>
      <c r="BL789" s="44">
        <v>41</v>
      </c>
      <c r="BM789" s="79">
        <f t="shared" si="96"/>
        <v>0</v>
      </c>
      <c r="BN789" s="75"/>
      <c r="BO789" s="75"/>
    </row>
    <row r="790" spans="1:67" s="4" customFormat="1" ht="46.8" x14ac:dyDescent="0.3">
      <c r="A790" s="48">
        <v>75</v>
      </c>
      <c r="B790" s="50" t="s">
        <v>582</v>
      </c>
      <c r="C790" s="39" t="s">
        <v>29</v>
      </c>
      <c r="D790" s="39">
        <v>2.44</v>
      </c>
      <c r="E790" s="39"/>
      <c r="F790" s="39">
        <v>2.44</v>
      </c>
      <c r="G790" s="39">
        <v>1.3</v>
      </c>
      <c r="H790" s="39"/>
      <c r="I790" s="39"/>
      <c r="J790" s="39">
        <v>1.1399999999999999</v>
      </c>
      <c r="K790" s="50" t="s">
        <v>212</v>
      </c>
      <c r="L790" s="50" t="s">
        <v>208</v>
      </c>
      <c r="M790" s="110" t="s">
        <v>218</v>
      </c>
      <c r="N790" s="211">
        <v>621</v>
      </c>
      <c r="O790" s="110"/>
      <c r="P790" s="39"/>
      <c r="Q790" s="39"/>
      <c r="R790" s="39"/>
      <c r="S790" s="39"/>
      <c r="T790" s="39"/>
      <c r="U790" s="39"/>
      <c r="V790" s="39"/>
      <c r="W790" s="39"/>
      <c r="X790" s="39"/>
      <c r="Y790" s="39"/>
      <c r="Z790" s="39">
        <v>1.1399999999999999</v>
      </c>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39"/>
      <c r="BC790" s="39"/>
      <c r="BD790" s="39"/>
      <c r="BE790" s="39"/>
      <c r="BF790" s="39"/>
      <c r="BG790" s="39"/>
      <c r="BH790" s="39"/>
      <c r="BI790" s="39"/>
      <c r="BJ790" s="78">
        <f t="shared" si="95"/>
        <v>0</v>
      </c>
      <c r="BK790" s="84"/>
      <c r="BL790" s="44">
        <v>41</v>
      </c>
      <c r="BM790" s="79">
        <f t="shared" si="96"/>
        <v>0</v>
      </c>
      <c r="BN790" s="75"/>
      <c r="BO790" s="75"/>
    </row>
    <row r="791" spans="1:67" s="4" customFormat="1" ht="62.4" x14ac:dyDescent="0.3">
      <c r="A791" s="48">
        <v>76</v>
      </c>
      <c r="B791" s="50" t="s">
        <v>583</v>
      </c>
      <c r="C791" s="39" t="s">
        <v>29</v>
      </c>
      <c r="D791" s="39">
        <v>4.0999999999999996</v>
      </c>
      <c r="E791" s="39"/>
      <c r="F791" s="39">
        <v>4.0999999999999996</v>
      </c>
      <c r="G791" s="39">
        <v>3.2</v>
      </c>
      <c r="H791" s="39"/>
      <c r="I791" s="39"/>
      <c r="J791" s="39">
        <v>0.9</v>
      </c>
      <c r="K791" s="50" t="s">
        <v>207</v>
      </c>
      <c r="L791" s="50" t="s">
        <v>208</v>
      </c>
      <c r="M791" s="110" t="s">
        <v>219</v>
      </c>
      <c r="N791" s="211">
        <v>622</v>
      </c>
      <c r="O791" s="110"/>
      <c r="P791" s="39"/>
      <c r="Q791" s="39"/>
      <c r="R791" s="39"/>
      <c r="S791" s="39"/>
      <c r="T791" s="39"/>
      <c r="U791" s="39"/>
      <c r="V791" s="39"/>
      <c r="W791" s="39"/>
      <c r="X791" s="39"/>
      <c r="Y791" s="39"/>
      <c r="Z791" s="39">
        <v>0.9</v>
      </c>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c r="BC791" s="39"/>
      <c r="BD791" s="39"/>
      <c r="BE791" s="39"/>
      <c r="BF791" s="39"/>
      <c r="BG791" s="39"/>
      <c r="BH791" s="39"/>
      <c r="BI791" s="39"/>
      <c r="BJ791" s="78">
        <f t="shared" si="95"/>
        <v>0</v>
      </c>
      <c r="BK791" s="84"/>
      <c r="BL791" s="44">
        <v>41</v>
      </c>
      <c r="BM791" s="79">
        <f t="shared" si="96"/>
        <v>0</v>
      </c>
      <c r="BN791" s="75"/>
      <c r="BO791" s="75"/>
    </row>
    <row r="792" spans="1:67" s="4" customFormat="1" ht="31.2" x14ac:dyDescent="0.3">
      <c r="A792" s="48">
        <v>77</v>
      </c>
      <c r="B792" s="50" t="s">
        <v>584</v>
      </c>
      <c r="C792" s="39" t="s">
        <v>29</v>
      </c>
      <c r="D792" s="39">
        <v>0.45</v>
      </c>
      <c r="E792" s="39"/>
      <c r="F792" s="39">
        <v>0.45</v>
      </c>
      <c r="G792" s="39"/>
      <c r="H792" s="39"/>
      <c r="I792" s="39"/>
      <c r="J792" s="39">
        <v>0.45</v>
      </c>
      <c r="K792" s="50" t="s">
        <v>211</v>
      </c>
      <c r="L792" s="50" t="s">
        <v>208</v>
      </c>
      <c r="M792" s="110">
        <v>25</v>
      </c>
      <c r="N792" s="211">
        <v>623</v>
      </c>
      <c r="O792" s="110"/>
      <c r="P792" s="39"/>
      <c r="Q792" s="39"/>
      <c r="R792" s="39"/>
      <c r="S792" s="39"/>
      <c r="T792" s="39"/>
      <c r="U792" s="39"/>
      <c r="V792" s="39"/>
      <c r="W792" s="39"/>
      <c r="X792" s="39"/>
      <c r="Y792" s="39"/>
      <c r="Z792" s="39"/>
      <c r="AA792" s="39">
        <v>0.45</v>
      </c>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39"/>
      <c r="BC792" s="39"/>
      <c r="BD792" s="39"/>
      <c r="BE792" s="39"/>
      <c r="BF792" s="39"/>
      <c r="BG792" s="39"/>
      <c r="BH792" s="39"/>
      <c r="BI792" s="39"/>
      <c r="BJ792" s="78">
        <f t="shared" si="95"/>
        <v>0</v>
      </c>
      <c r="BK792" s="84"/>
      <c r="BL792" s="44">
        <v>41</v>
      </c>
      <c r="BM792" s="79">
        <f t="shared" si="96"/>
        <v>0</v>
      </c>
      <c r="BN792" s="75"/>
      <c r="BO792" s="75"/>
    </row>
    <row r="793" spans="1:67" s="4" customFormat="1" ht="78" x14ac:dyDescent="0.3">
      <c r="A793" s="48">
        <v>78</v>
      </c>
      <c r="B793" s="50" t="s">
        <v>585</v>
      </c>
      <c r="C793" s="39" t="s">
        <v>29</v>
      </c>
      <c r="D793" s="39">
        <v>4.0999999999999996</v>
      </c>
      <c r="E793" s="39"/>
      <c r="F793" s="39">
        <v>4.0999999999999996</v>
      </c>
      <c r="G793" s="39">
        <v>1.3</v>
      </c>
      <c r="H793" s="39"/>
      <c r="I793" s="39"/>
      <c r="J793" s="39">
        <v>2.8</v>
      </c>
      <c r="K793" s="50" t="s">
        <v>221</v>
      </c>
      <c r="L793" s="50" t="s">
        <v>208</v>
      </c>
      <c r="M793" s="110" t="s">
        <v>220</v>
      </c>
      <c r="N793" s="211">
        <v>624</v>
      </c>
      <c r="O793" s="110"/>
      <c r="P793" s="39"/>
      <c r="Q793" s="39"/>
      <c r="R793" s="39"/>
      <c r="S793" s="39"/>
      <c r="T793" s="39"/>
      <c r="U793" s="39"/>
      <c r="V793" s="39"/>
      <c r="W793" s="39"/>
      <c r="X793" s="39"/>
      <c r="Y793" s="39"/>
      <c r="Z793" s="39">
        <v>1.9</v>
      </c>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39"/>
      <c r="BC793" s="39"/>
      <c r="BD793" s="39"/>
      <c r="BE793" s="39">
        <v>0.9</v>
      </c>
      <c r="BF793" s="39"/>
      <c r="BG793" s="39"/>
      <c r="BH793" s="39"/>
      <c r="BI793" s="39"/>
      <c r="BJ793" s="78">
        <f t="shared" si="95"/>
        <v>0</v>
      </c>
      <c r="BK793" s="84"/>
      <c r="BL793" s="44">
        <v>41</v>
      </c>
      <c r="BM793" s="79">
        <f t="shared" si="96"/>
        <v>0</v>
      </c>
      <c r="BN793" s="75"/>
      <c r="BO793" s="75"/>
    </row>
    <row r="794" spans="1:67" s="4" customFormat="1" ht="46.8" x14ac:dyDescent="0.3">
      <c r="A794" s="48">
        <v>79</v>
      </c>
      <c r="B794" s="50" t="s">
        <v>586</v>
      </c>
      <c r="C794" s="39" t="s">
        <v>29</v>
      </c>
      <c r="D794" s="39">
        <v>2.6</v>
      </c>
      <c r="E794" s="39"/>
      <c r="F794" s="39">
        <v>2.6</v>
      </c>
      <c r="G794" s="39"/>
      <c r="H794" s="39"/>
      <c r="I794" s="39"/>
      <c r="J794" s="39">
        <v>2.6</v>
      </c>
      <c r="K794" s="50" t="s">
        <v>215</v>
      </c>
      <c r="L794" s="50" t="s">
        <v>208</v>
      </c>
      <c r="M794" s="99" t="s">
        <v>222</v>
      </c>
      <c r="N794" s="207">
        <v>625</v>
      </c>
      <c r="O794" s="99"/>
      <c r="P794" s="39"/>
      <c r="Q794" s="39"/>
      <c r="R794" s="39"/>
      <c r="S794" s="39"/>
      <c r="T794" s="39"/>
      <c r="U794" s="39"/>
      <c r="V794" s="39"/>
      <c r="W794" s="39"/>
      <c r="X794" s="39"/>
      <c r="Y794" s="39"/>
      <c r="Z794" s="39">
        <v>2.6</v>
      </c>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c r="BC794" s="39"/>
      <c r="BD794" s="39"/>
      <c r="BE794" s="39"/>
      <c r="BF794" s="39"/>
      <c r="BG794" s="39"/>
      <c r="BH794" s="39"/>
      <c r="BI794" s="39"/>
      <c r="BJ794" s="78">
        <f t="shared" si="95"/>
        <v>0</v>
      </c>
      <c r="BK794" s="84"/>
      <c r="BL794" s="44">
        <v>41</v>
      </c>
      <c r="BM794" s="79">
        <f t="shared" si="96"/>
        <v>0</v>
      </c>
      <c r="BN794" s="75"/>
      <c r="BO794" s="75"/>
    </row>
    <row r="795" spans="1:67" s="4" customFormat="1" ht="31.2" x14ac:dyDescent="0.3">
      <c r="A795" s="48">
        <v>80</v>
      </c>
      <c r="B795" s="42" t="s">
        <v>352</v>
      </c>
      <c r="C795" s="39" t="s">
        <v>29</v>
      </c>
      <c r="D795" s="41">
        <v>0.73</v>
      </c>
      <c r="E795" s="41"/>
      <c r="F795" s="41">
        <v>0.73</v>
      </c>
      <c r="G795" s="41">
        <v>0</v>
      </c>
      <c r="H795" s="41"/>
      <c r="I795" s="39"/>
      <c r="J795" s="39">
        <v>0.73</v>
      </c>
      <c r="K795" s="92" t="s">
        <v>111</v>
      </c>
      <c r="L795" s="50" t="s">
        <v>208</v>
      </c>
      <c r="M795" s="110">
        <v>42</v>
      </c>
      <c r="N795" s="211">
        <v>626</v>
      </c>
      <c r="O795" s="110"/>
      <c r="P795" s="39"/>
      <c r="Q795" s="39"/>
      <c r="R795" s="39"/>
      <c r="S795" s="39"/>
      <c r="T795" s="39"/>
      <c r="U795" s="39"/>
      <c r="V795" s="39"/>
      <c r="W795" s="39"/>
      <c r="X795" s="39">
        <v>0.73</v>
      </c>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39"/>
      <c r="BC795" s="39"/>
      <c r="BD795" s="39"/>
      <c r="BE795" s="39"/>
      <c r="BF795" s="39"/>
      <c r="BG795" s="39"/>
      <c r="BH795" s="39"/>
      <c r="BI795" s="39"/>
      <c r="BJ795" s="78">
        <f t="shared" si="95"/>
        <v>0</v>
      </c>
      <c r="BK795" s="84"/>
      <c r="BL795" s="44">
        <v>41</v>
      </c>
      <c r="BM795" s="79">
        <f t="shared" si="96"/>
        <v>0</v>
      </c>
      <c r="BN795" s="75"/>
      <c r="BO795" s="75"/>
    </row>
    <row r="796" spans="1:67" s="4" customFormat="1" ht="31.2" x14ac:dyDescent="0.3">
      <c r="A796" s="48">
        <v>81</v>
      </c>
      <c r="B796" s="50" t="s">
        <v>306</v>
      </c>
      <c r="C796" s="39" t="s">
        <v>29</v>
      </c>
      <c r="D796" s="108">
        <v>1.1000000000000001</v>
      </c>
      <c r="E796" s="39"/>
      <c r="F796" s="39">
        <v>1.1000000000000001</v>
      </c>
      <c r="G796" s="39">
        <v>0.25</v>
      </c>
      <c r="H796" s="39"/>
      <c r="I796" s="39"/>
      <c r="J796" s="39">
        <v>0.85</v>
      </c>
      <c r="K796" s="94" t="s">
        <v>1055</v>
      </c>
      <c r="L796" s="50" t="s">
        <v>208</v>
      </c>
      <c r="M796" s="110">
        <v>50</v>
      </c>
      <c r="N796" s="211">
        <v>627</v>
      </c>
      <c r="O796" s="110"/>
      <c r="P796" s="39"/>
      <c r="Q796" s="39"/>
      <c r="R796" s="39"/>
      <c r="S796" s="39"/>
      <c r="T796" s="39"/>
      <c r="U796" s="39"/>
      <c r="V796" s="39"/>
      <c r="W796" s="39"/>
      <c r="X796" s="39"/>
      <c r="Y796" s="39"/>
      <c r="Z796" s="39">
        <v>0.85</v>
      </c>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c r="BC796" s="39"/>
      <c r="BD796" s="39"/>
      <c r="BE796" s="39"/>
      <c r="BF796" s="39"/>
      <c r="BG796" s="39"/>
      <c r="BH796" s="39"/>
      <c r="BI796" s="39"/>
      <c r="BJ796" s="78">
        <f t="shared" si="95"/>
        <v>0</v>
      </c>
      <c r="BK796" s="84"/>
      <c r="BL796" s="44">
        <v>41</v>
      </c>
      <c r="BM796" s="79">
        <f t="shared" si="96"/>
        <v>0</v>
      </c>
      <c r="BN796" s="75"/>
      <c r="BO796" s="75"/>
    </row>
    <row r="797" spans="1:67" s="4" customFormat="1" ht="46.8" x14ac:dyDescent="0.3">
      <c r="A797" s="48">
        <v>82</v>
      </c>
      <c r="B797" s="50" t="s">
        <v>306</v>
      </c>
      <c r="C797" s="95" t="s">
        <v>29</v>
      </c>
      <c r="D797" s="41">
        <v>9.4</v>
      </c>
      <c r="E797" s="41"/>
      <c r="F797" s="41">
        <v>9.4</v>
      </c>
      <c r="G797" s="39">
        <f>6.42+0.98+1</f>
        <v>8.4</v>
      </c>
      <c r="H797" s="39"/>
      <c r="I797" s="39"/>
      <c r="J797" s="39">
        <v>1</v>
      </c>
      <c r="K797" s="42" t="s">
        <v>1020</v>
      </c>
      <c r="L797" s="42" t="s">
        <v>233</v>
      </c>
      <c r="M797" s="200">
        <v>1</v>
      </c>
      <c r="N797" s="214">
        <v>628</v>
      </c>
      <c r="O797" s="200"/>
      <c r="P797" s="84"/>
      <c r="Q797" s="84"/>
      <c r="R797" s="84"/>
      <c r="S797" s="84"/>
      <c r="T797" s="84"/>
      <c r="U797" s="84"/>
      <c r="V797" s="84"/>
      <c r="W797" s="84"/>
      <c r="X797" s="84"/>
      <c r="Y797" s="84"/>
      <c r="Z797" s="84"/>
      <c r="AA797" s="84"/>
      <c r="AB797" s="84"/>
      <c r="AC797" s="84"/>
      <c r="AD797" s="84"/>
      <c r="AE797" s="84"/>
      <c r="AF797" s="84"/>
      <c r="AG797" s="118">
        <v>0.57999999999999996</v>
      </c>
      <c r="AH797" s="84"/>
      <c r="AI797" s="84"/>
      <c r="AJ797" s="84"/>
      <c r="AK797" s="84"/>
      <c r="AL797" s="84"/>
      <c r="AM797" s="84"/>
      <c r="AN797" s="84"/>
      <c r="AO797" s="84"/>
      <c r="AP797" s="84"/>
      <c r="AQ797" s="84">
        <v>0.42</v>
      </c>
      <c r="AR797" s="84"/>
      <c r="AS797" s="84"/>
      <c r="AT797" s="84"/>
      <c r="AU797" s="84"/>
      <c r="AV797" s="84"/>
      <c r="AW797" s="84"/>
      <c r="AX797" s="84"/>
      <c r="AY797" s="84"/>
      <c r="AZ797" s="84"/>
      <c r="BA797" s="84"/>
      <c r="BB797" s="84"/>
      <c r="BC797" s="84"/>
      <c r="BD797" s="84"/>
      <c r="BE797" s="84"/>
      <c r="BF797" s="84"/>
      <c r="BG797" s="84"/>
      <c r="BH797" s="84"/>
      <c r="BI797" s="84"/>
      <c r="BJ797" s="78">
        <f t="shared" si="95"/>
        <v>0</v>
      </c>
      <c r="BK797" s="97"/>
      <c r="BL797" s="44">
        <v>41</v>
      </c>
      <c r="BM797" s="79">
        <f t="shared" si="96"/>
        <v>0</v>
      </c>
      <c r="BN797" s="75"/>
      <c r="BO797" s="75"/>
    </row>
    <row r="798" spans="1:67" s="4" customFormat="1" ht="31.2" x14ac:dyDescent="0.3">
      <c r="A798" s="48">
        <v>83</v>
      </c>
      <c r="B798" s="50" t="s">
        <v>306</v>
      </c>
      <c r="C798" s="95" t="s">
        <v>29</v>
      </c>
      <c r="D798" s="41">
        <v>2.73</v>
      </c>
      <c r="E798" s="41"/>
      <c r="F798" s="41">
        <v>2.73</v>
      </c>
      <c r="G798" s="39">
        <v>2.09</v>
      </c>
      <c r="H798" s="39"/>
      <c r="I798" s="39"/>
      <c r="J798" s="39">
        <v>0.64</v>
      </c>
      <c r="K798" s="42" t="s">
        <v>1021</v>
      </c>
      <c r="L798" s="42" t="s">
        <v>233</v>
      </c>
      <c r="M798" s="44">
        <v>2</v>
      </c>
      <c r="N798" s="209">
        <v>629</v>
      </c>
      <c r="O798" s="4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798" s="84"/>
      <c r="AN798" s="84"/>
      <c r="AO798" s="118">
        <v>0.64</v>
      </c>
      <c r="AP798" s="84"/>
      <c r="AQ798" s="84"/>
      <c r="AR798" s="84"/>
      <c r="AS798" s="84"/>
      <c r="AT798" s="84"/>
      <c r="AU798" s="84"/>
      <c r="AV798" s="84"/>
      <c r="AW798" s="84"/>
      <c r="AX798" s="84"/>
      <c r="AY798" s="84"/>
      <c r="AZ798" s="84"/>
      <c r="BA798" s="84"/>
      <c r="BB798" s="84"/>
      <c r="BC798" s="84"/>
      <c r="BD798" s="84"/>
      <c r="BE798" s="84"/>
      <c r="BF798" s="84"/>
      <c r="BG798" s="84"/>
      <c r="BH798" s="84"/>
      <c r="BI798" s="84"/>
      <c r="BJ798" s="78">
        <f t="shared" si="95"/>
        <v>0</v>
      </c>
      <c r="BK798" s="97"/>
      <c r="BL798" s="44">
        <v>41</v>
      </c>
      <c r="BM798" s="79">
        <f t="shared" si="96"/>
        <v>0</v>
      </c>
      <c r="BN798" s="75"/>
      <c r="BO798" s="75"/>
    </row>
    <row r="799" spans="1:67" s="4" customFormat="1" ht="60" customHeight="1" x14ac:dyDescent="0.3">
      <c r="A799" s="48">
        <v>84</v>
      </c>
      <c r="B799" s="50" t="s">
        <v>306</v>
      </c>
      <c r="C799" s="95" t="s">
        <v>29</v>
      </c>
      <c r="D799" s="39">
        <v>17.940000000000001</v>
      </c>
      <c r="E799" s="39"/>
      <c r="F799" s="39">
        <v>17.940000000000001</v>
      </c>
      <c r="G799" s="39">
        <v>17.940000000000001</v>
      </c>
      <c r="H799" s="39"/>
      <c r="I799" s="39"/>
      <c r="J799" s="39"/>
      <c r="K799" s="42" t="s">
        <v>843</v>
      </c>
      <c r="L799" s="42" t="s">
        <v>233</v>
      </c>
      <c r="M799" s="44">
        <v>3</v>
      </c>
      <c r="N799" s="209">
        <v>630</v>
      </c>
      <c r="O799" s="4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L799" s="84"/>
      <c r="AM799" s="84"/>
      <c r="AN799" s="84"/>
      <c r="AO799" s="84"/>
      <c r="AP799" s="84"/>
      <c r="AQ799" s="84"/>
      <c r="AR799" s="84"/>
      <c r="AS799" s="84"/>
      <c r="AT799" s="84"/>
      <c r="AU799" s="84"/>
      <c r="AV799" s="84"/>
      <c r="AW799" s="84"/>
      <c r="AX799" s="84"/>
      <c r="AY799" s="84"/>
      <c r="AZ799" s="84"/>
      <c r="BA799" s="84"/>
      <c r="BB799" s="84"/>
      <c r="BC799" s="84"/>
      <c r="BD799" s="84"/>
      <c r="BE799" s="84"/>
      <c r="BF799" s="84"/>
      <c r="BG799" s="84"/>
      <c r="BH799" s="84"/>
      <c r="BI799" s="84"/>
      <c r="BJ799" s="78">
        <f t="shared" si="95"/>
        <v>0</v>
      </c>
      <c r="BK799" s="97"/>
      <c r="BL799" s="44">
        <v>41</v>
      </c>
      <c r="BM799" s="79">
        <f t="shared" si="96"/>
        <v>0</v>
      </c>
      <c r="BN799" s="75"/>
      <c r="BO799" s="75"/>
    </row>
    <row r="800" spans="1:67" s="4" customFormat="1" ht="31.2" x14ac:dyDescent="0.3">
      <c r="A800" s="48">
        <v>85</v>
      </c>
      <c r="B800" s="50" t="s">
        <v>306</v>
      </c>
      <c r="C800" s="95" t="s">
        <v>29</v>
      </c>
      <c r="D800" s="39">
        <v>4.26</v>
      </c>
      <c r="E800" s="39"/>
      <c r="F800" s="39">
        <v>4.26</v>
      </c>
      <c r="G800" s="39">
        <f>1.87+1.05+1</f>
        <v>3.92</v>
      </c>
      <c r="H800" s="39"/>
      <c r="I800" s="39"/>
      <c r="J800" s="39">
        <v>0.34</v>
      </c>
      <c r="K800" s="42" t="s">
        <v>1018</v>
      </c>
      <c r="L800" s="42" t="s">
        <v>233</v>
      </c>
      <c r="M800" s="44">
        <v>4</v>
      </c>
      <c r="N800" s="209">
        <v>631</v>
      </c>
      <c r="O800" s="44"/>
      <c r="P800" s="84"/>
      <c r="Q800" s="84"/>
      <c r="R800" s="84"/>
      <c r="S800" s="84"/>
      <c r="T800" s="84"/>
      <c r="U800" s="84"/>
      <c r="V800" s="84"/>
      <c r="W800" s="84"/>
      <c r="X800" s="84"/>
      <c r="Y800" s="84"/>
      <c r="Z800" s="84"/>
      <c r="AA800" s="84"/>
      <c r="AB800" s="84"/>
      <c r="AC800" s="84"/>
      <c r="AD800" s="84"/>
      <c r="AE800" s="84"/>
      <c r="AF800" s="84"/>
      <c r="AG800" s="84"/>
      <c r="AH800" s="84"/>
      <c r="AI800" s="84"/>
      <c r="AJ800" s="84"/>
      <c r="AK800" s="84"/>
      <c r="AL800" s="84"/>
      <c r="AM800" s="84"/>
      <c r="AN800" s="84"/>
      <c r="AO800" s="84"/>
      <c r="AP800" s="84"/>
      <c r="AQ800" s="84">
        <v>0.34</v>
      </c>
      <c r="AR800" s="84"/>
      <c r="AS800" s="84"/>
      <c r="AT800" s="84"/>
      <c r="AU800" s="84"/>
      <c r="AV800" s="84"/>
      <c r="AW800" s="84"/>
      <c r="AX800" s="84"/>
      <c r="AY800" s="84"/>
      <c r="AZ800" s="84"/>
      <c r="BA800" s="84"/>
      <c r="BB800" s="84"/>
      <c r="BC800" s="84"/>
      <c r="BD800" s="84"/>
      <c r="BE800" s="84"/>
      <c r="BF800" s="84"/>
      <c r="BG800" s="84"/>
      <c r="BH800" s="84"/>
      <c r="BI800" s="84"/>
      <c r="BJ800" s="78">
        <f t="shared" si="95"/>
        <v>0</v>
      </c>
      <c r="BK800" s="97"/>
      <c r="BL800" s="44">
        <v>41</v>
      </c>
      <c r="BM800" s="79">
        <f t="shared" si="96"/>
        <v>0</v>
      </c>
      <c r="BN800" s="75"/>
      <c r="BO800" s="75"/>
    </row>
    <row r="801" spans="1:67" s="4" customFormat="1" ht="31.2" x14ac:dyDescent="0.3">
      <c r="A801" s="48">
        <v>86</v>
      </c>
      <c r="B801" s="50" t="s">
        <v>306</v>
      </c>
      <c r="C801" s="95" t="s">
        <v>29</v>
      </c>
      <c r="D801" s="39">
        <v>2.19</v>
      </c>
      <c r="E801" s="39"/>
      <c r="F801" s="39">
        <v>2.19</v>
      </c>
      <c r="G801" s="39">
        <v>1.95</v>
      </c>
      <c r="H801" s="39"/>
      <c r="I801" s="39"/>
      <c r="J801" s="39">
        <v>0.24</v>
      </c>
      <c r="K801" s="42" t="s">
        <v>1019</v>
      </c>
      <c r="L801" s="42" t="s">
        <v>233</v>
      </c>
      <c r="M801" s="44">
        <v>5</v>
      </c>
      <c r="N801" s="209">
        <v>632</v>
      </c>
      <c r="O801" s="4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L801" s="84"/>
      <c r="AM801" s="84"/>
      <c r="AN801" s="84"/>
      <c r="AO801" s="84"/>
      <c r="AP801" s="84"/>
      <c r="AQ801" s="84"/>
      <c r="AR801" s="84"/>
      <c r="AS801" s="84"/>
      <c r="AT801" s="84"/>
      <c r="AU801" s="84"/>
      <c r="AV801" s="84"/>
      <c r="AW801" s="84"/>
      <c r="AX801" s="84"/>
      <c r="AY801" s="84"/>
      <c r="AZ801" s="84"/>
      <c r="BA801" s="84"/>
      <c r="BB801" s="84"/>
      <c r="BC801" s="84"/>
      <c r="BD801" s="84"/>
      <c r="BE801" s="118">
        <v>0.24</v>
      </c>
      <c r="BF801" s="84"/>
      <c r="BG801" s="84"/>
      <c r="BH801" s="84"/>
      <c r="BI801" s="84"/>
      <c r="BJ801" s="78">
        <f t="shared" si="95"/>
        <v>0</v>
      </c>
      <c r="BK801" s="97"/>
      <c r="BL801" s="44">
        <v>41</v>
      </c>
      <c r="BM801" s="79">
        <f t="shared" si="96"/>
        <v>0</v>
      </c>
      <c r="BN801" s="75"/>
      <c r="BO801" s="75"/>
    </row>
    <row r="802" spans="1:67" s="4" customFormat="1" ht="31.2" x14ac:dyDescent="0.3">
      <c r="A802" s="48">
        <v>87</v>
      </c>
      <c r="B802" s="50" t="s">
        <v>306</v>
      </c>
      <c r="C802" s="95" t="s">
        <v>29</v>
      </c>
      <c r="D802" s="39">
        <v>4.66</v>
      </c>
      <c r="E802" s="39"/>
      <c r="F802" s="39">
        <v>4.66</v>
      </c>
      <c r="G802" s="39">
        <v>3.83</v>
      </c>
      <c r="H802" s="39"/>
      <c r="I802" s="39"/>
      <c r="J802" s="39">
        <v>0.83</v>
      </c>
      <c r="K802" s="42" t="s">
        <v>1017</v>
      </c>
      <c r="L802" s="42" t="s">
        <v>233</v>
      </c>
      <c r="M802" s="44">
        <v>6</v>
      </c>
      <c r="N802" s="209">
        <v>633</v>
      </c>
      <c r="O802" s="4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802" s="84"/>
      <c r="AN802" s="84"/>
      <c r="AO802" s="84"/>
      <c r="AP802" s="84"/>
      <c r="AQ802" s="84"/>
      <c r="AR802" s="84"/>
      <c r="AS802" s="84"/>
      <c r="AT802" s="84"/>
      <c r="AU802" s="84"/>
      <c r="AV802" s="84"/>
      <c r="AW802" s="84"/>
      <c r="AX802" s="84"/>
      <c r="AY802" s="84"/>
      <c r="AZ802" s="84"/>
      <c r="BA802" s="84"/>
      <c r="BB802" s="84"/>
      <c r="BC802" s="84"/>
      <c r="BD802" s="84"/>
      <c r="BE802" s="118">
        <v>0.83</v>
      </c>
      <c r="BF802" s="84"/>
      <c r="BG802" s="84"/>
      <c r="BH802" s="84"/>
      <c r="BI802" s="84"/>
      <c r="BJ802" s="78">
        <f t="shared" si="95"/>
        <v>0</v>
      </c>
      <c r="BK802" s="97"/>
      <c r="BL802" s="44">
        <v>41</v>
      </c>
      <c r="BM802" s="79">
        <f t="shared" si="96"/>
        <v>0</v>
      </c>
      <c r="BN802" s="75"/>
      <c r="BO802" s="75"/>
    </row>
    <row r="803" spans="1:67" s="4" customFormat="1" ht="31.2" x14ac:dyDescent="0.3">
      <c r="A803" s="48">
        <v>88</v>
      </c>
      <c r="B803" s="50" t="s">
        <v>306</v>
      </c>
      <c r="C803" s="95" t="s">
        <v>29</v>
      </c>
      <c r="D803" s="39">
        <v>5.09</v>
      </c>
      <c r="E803" s="39"/>
      <c r="F803" s="39">
        <v>5.09</v>
      </c>
      <c r="G803" s="39">
        <f>2.18-1.32+0.9+1.13+0.18+0.26+1+0.12-1-0.72-0.34</f>
        <v>2.3900000000000006</v>
      </c>
      <c r="H803" s="39"/>
      <c r="I803" s="39"/>
      <c r="J803" s="39">
        <v>2.7</v>
      </c>
      <c r="K803" s="42" t="s">
        <v>1016</v>
      </c>
      <c r="L803" s="42" t="s">
        <v>233</v>
      </c>
      <c r="M803" s="44">
        <v>7</v>
      </c>
      <c r="N803" s="209">
        <v>634</v>
      </c>
      <c r="O803" s="44"/>
      <c r="P803" s="84"/>
      <c r="Q803" s="84"/>
      <c r="R803" s="84"/>
      <c r="S803" s="84"/>
      <c r="T803" s="84"/>
      <c r="U803" s="84"/>
      <c r="V803" s="84"/>
      <c r="W803" s="84"/>
      <c r="X803" s="84">
        <v>0.3</v>
      </c>
      <c r="Y803" s="84"/>
      <c r="Z803" s="84">
        <v>1.5</v>
      </c>
      <c r="AA803" s="84"/>
      <c r="AB803" s="84"/>
      <c r="AC803" s="84"/>
      <c r="AD803" s="84"/>
      <c r="AE803" s="84"/>
      <c r="AF803" s="84"/>
      <c r="AG803" s="84"/>
      <c r="AH803" s="84"/>
      <c r="AI803" s="84"/>
      <c r="AJ803" s="84"/>
      <c r="AK803" s="84"/>
      <c r="AL803" s="84"/>
      <c r="AM803" s="84"/>
      <c r="AN803" s="84"/>
      <c r="AO803" s="84"/>
      <c r="AP803" s="84"/>
      <c r="AQ803" s="84">
        <f>0.49+0.41</f>
        <v>0.89999999999999991</v>
      </c>
      <c r="AR803" s="84"/>
      <c r="AS803" s="84"/>
      <c r="AT803" s="84"/>
      <c r="AU803" s="84"/>
      <c r="AV803" s="84"/>
      <c r="AW803" s="84"/>
      <c r="AX803" s="84"/>
      <c r="AY803" s="84"/>
      <c r="AZ803" s="84"/>
      <c r="BA803" s="84"/>
      <c r="BB803" s="84"/>
      <c r="BC803" s="84"/>
      <c r="BD803" s="84"/>
      <c r="BE803" s="84"/>
      <c r="BF803" s="84"/>
      <c r="BG803" s="84"/>
      <c r="BH803" s="84"/>
      <c r="BI803" s="84"/>
      <c r="BJ803" s="78">
        <f t="shared" si="95"/>
        <v>0</v>
      </c>
      <c r="BK803" s="97"/>
      <c r="BL803" s="44">
        <v>41</v>
      </c>
      <c r="BM803" s="79">
        <f t="shared" si="96"/>
        <v>0</v>
      </c>
      <c r="BN803" s="75"/>
      <c r="BO803" s="75"/>
    </row>
    <row r="804" spans="1:67" s="4" customFormat="1" ht="31.2" x14ac:dyDescent="0.3">
      <c r="A804" s="48">
        <v>89</v>
      </c>
      <c r="B804" s="50" t="s">
        <v>306</v>
      </c>
      <c r="C804" s="95" t="s">
        <v>29</v>
      </c>
      <c r="D804" s="39">
        <v>4.34</v>
      </c>
      <c r="E804" s="39"/>
      <c r="F804" s="39">
        <v>4.34</v>
      </c>
      <c r="G804" s="39">
        <f>3.92+0.65+1.88-2.37</f>
        <v>4.08</v>
      </c>
      <c r="H804" s="39"/>
      <c r="I804" s="39"/>
      <c r="J804" s="39">
        <v>0.26</v>
      </c>
      <c r="K804" s="42" t="s">
        <v>1015</v>
      </c>
      <c r="L804" s="42" t="s">
        <v>233</v>
      </c>
      <c r="M804" s="44">
        <v>8</v>
      </c>
      <c r="N804" s="209">
        <v>635</v>
      </c>
      <c r="O804" s="4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804" s="84"/>
      <c r="AN804" s="84"/>
      <c r="AO804" s="118"/>
      <c r="AP804" s="84"/>
      <c r="AQ804" s="84"/>
      <c r="AR804" s="84"/>
      <c r="AS804" s="84"/>
      <c r="AT804" s="84"/>
      <c r="AU804" s="84"/>
      <c r="AV804" s="84"/>
      <c r="AW804" s="84"/>
      <c r="AX804" s="84"/>
      <c r="AY804" s="84"/>
      <c r="AZ804" s="84"/>
      <c r="BA804" s="84"/>
      <c r="BB804" s="84"/>
      <c r="BC804" s="84"/>
      <c r="BD804" s="84"/>
      <c r="BE804" s="118">
        <v>0.26</v>
      </c>
      <c r="BF804" s="84"/>
      <c r="BG804" s="84"/>
      <c r="BH804" s="84"/>
      <c r="BI804" s="84"/>
      <c r="BJ804" s="78">
        <f t="shared" si="95"/>
        <v>0</v>
      </c>
      <c r="BK804" s="97"/>
      <c r="BL804" s="44">
        <v>41</v>
      </c>
      <c r="BM804" s="79">
        <f t="shared" si="96"/>
        <v>0</v>
      </c>
      <c r="BN804" s="75"/>
      <c r="BO804" s="75"/>
    </row>
    <row r="805" spans="1:67" s="4" customFormat="1" ht="31.2" x14ac:dyDescent="0.3">
      <c r="A805" s="48">
        <v>90</v>
      </c>
      <c r="B805" s="42" t="s">
        <v>352</v>
      </c>
      <c r="C805" s="95" t="s">
        <v>29</v>
      </c>
      <c r="D805" s="39">
        <v>0.7</v>
      </c>
      <c r="E805" s="39"/>
      <c r="F805" s="39">
        <v>0.7</v>
      </c>
      <c r="G805" s="39">
        <v>0.15</v>
      </c>
      <c r="H805" s="39"/>
      <c r="I805" s="39"/>
      <c r="J805" s="39">
        <v>0.55000000000000004</v>
      </c>
      <c r="K805" s="92" t="s">
        <v>111</v>
      </c>
      <c r="L805" s="42" t="s">
        <v>233</v>
      </c>
      <c r="M805" s="44">
        <v>9</v>
      </c>
      <c r="N805" s="209">
        <v>636</v>
      </c>
      <c r="O805" s="44"/>
      <c r="P805" s="84"/>
      <c r="Q805" s="84"/>
      <c r="R805" s="84"/>
      <c r="S805" s="84"/>
      <c r="T805" s="84"/>
      <c r="U805" s="84"/>
      <c r="V805" s="84"/>
      <c r="W805" s="84"/>
      <c r="X805" s="84"/>
      <c r="Y805" s="84"/>
      <c r="Z805" s="84"/>
      <c r="AA805" s="84">
        <v>0.41</v>
      </c>
      <c r="AB805" s="118">
        <v>0.05</v>
      </c>
      <c r="AC805" s="84"/>
      <c r="AD805" s="84"/>
      <c r="AE805" s="84"/>
      <c r="AF805" s="84"/>
      <c r="AG805" s="84"/>
      <c r="AH805" s="84"/>
      <c r="AI805" s="84"/>
      <c r="AJ805" s="84"/>
      <c r="AK805" s="84"/>
      <c r="AL805" s="84"/>
      <c r="AM805" s="84"/>
      <c r="AN805" s="84"/>
      <c r="AO805" s="84"/>
      <c r="AP805" s="84"/>
      <c r="AQ805" s="84"/>
      <c r="AR805" s="84"/>
      <c r="AS805" s="84"/>
      <c r="AT805" s="84"/>
      <c r="AU805" s="84"/>
      <c r="AV805" s="84"/>
      <c r="AW805" s="84"/>
      <c r="AX805" s="84"/>
      <c r="AY805" s="84"/>
      <c r="AZ805" s="84"/>
      <c r="BA805" s="84"/>
      <c r="BB805" s="84"/>
      <c r="BC805" s="84"/>
      <c r="BD805" s="84">
        <v>0.09</v>
      </c>
      <c r="BE805" s="84"/>
      <c r="BF805" s="84"/>
      <c r="BG805" s="84"/>
      <c r="BH805" s="84"/>
      <c r="BI805" s="84"/>
      <c r="BJ805" s="78">
        <f t="shared" si="95"/>
        <v>0</v>
      </c>
      <c r="BK805" s="97"/>
      <c r="BL805" s="44">
        <v>41</v>
      </c>
      <c r="BM805" s="79">
        <f t="shared" si="96"/>
        <v>0</v>
      </c>
      <c r="BN805" s="75"/>
      <c r="BO805" s="75"/>
    </row>
    <row r="806" spans="1:67" s="4" customFormat="1" x14ac:dyDescent="0.3">
      <c r="A806" s="48">
        <v>91</v>
      </c>
      <c r="B806" s="50" t="s">
        <v>306</v>
      </c>
      <c r="C806" s="48" t="s">
        <v>29</v>
      </c>
      <c r="D806" s="41">
        <v>3.26</v>
      </c>
      <c r="E806" s="41"/>
      <c r="F806" s="41">
        <v>3.26</v>
      </c>
      <c r="G806" s="39">
        <v>1.93</v>
      </c>
      <c r="H806" s="39"/>
      <c r="I806" s="39"/>
      <c r="J806" s="39">
        <v>1.33</v>
      </c>
      <c r="K806" s="42" t="s">
        <v>1014</v>
      </c>
      <c r="L806" s="42" t="s">
        <v>247</v>
      </c>
      <c r="M806" s="48">
        <v>6</v>
      </c>
      <c r="N806" s="206">
        <v>637</v>
      </c>
      <c r="O806" s="48"/>
      <c r="P806" s="84"/>
      <c r="Q806" s="84"/>
      <c r="R806" s="84"/>
      <c r="S806" s="84"/>
      <c r="T806" s="84"/>
      <c r="U806" s="84"/>
      <c r="V806" s="84"/>
      <c r="W806" s="84"/>
      <c r="X806" s="84"/>
      <c r="Y806" s="84"/>
      <c r="Z806" s="84"/>
      <c r="AA806" s="84"/>
      <c r="AB806" s="84"/>
      <c r="AC806" s="84"/>
      <c r="AD806" s="84"/>
      <c r="AE806" s="84"/>
      <c r="AF806" s="84"/>
      <c r="AG806" s="118"/>
      <c r="AH806" s="84"/>
      <c r="AI806" s="84"/>
      <c r="AJ806" s="84"/>
      <c r="AK806" s="84"/>
      <c r="AL806" s="84"/>
      <c r="AM806" s="84"/>
      <c r="AN806" s="84"/>
      <c r="AO806" s="84">
        <v>0.28000000000000003</v>
      </c>
      <c r="AP806" s="84"/>
      <c r="AQ806" s="84"/>
      <c r="AR806" s="84"/>
      <c r="AS806" s="84"/>
      <c r="AT806" s="84"/>
      <c r="AU806" s="84"/>
      <c r="AV806" s="84"/>
      <c r="AW806" s="84"/>
      <c r="AX806" s="84"/>
      <c r="AY806" s="84"/>
      <c r="AZ806" s="84"/>
      <c r="BA806" s="84"/>
      <c r="BB806" s="84"/>
      <c r="BC806" s="84"/>
      <c r="BD806" s="84"/>
      <c r="BE806" s="84">
        <v>1.05</v>
      </c>
      <c r="BF806" s="84"/>
      <c r="BG806" s="84"/>
      <c r="BH806" s="84"/>
      <c r="BI806" s="84"/>
      <c r="BJ806" s="78">
        <f t="shared" si="95"/>
        <v>0</v>
      </c>
      <c r="BK806" s="84"/>
      <c r="BL806" s="44">
        <v>41</v>
      </c>
      <c r="BM806" s="79">
        <f t="shared" si="96"/>
        <v>0</v>
      </c>
      <c r="BN806" s="75"/>
      <c r="BO806" s="75"/>
    </row>
    <row r="807" spans="1:67" s="4" customFormat="1" x14ac:dyDescent="0.3">
      <c r="A807" s="48">
        <v>92</v>
      </c>
      <c r="B807" s="50" t="s">
        <v>306</v>
      </c>
      <c r="C807" s="48" t="s">
        <v>29</v>
      </c>
      <c r="D807" s="41">
        <v>6.6</v>
      </c>
      <c r="E807" s="41"/>
      <c r="F807" s="41">
        <v>6.6</v>
      </c>
      <c r="G807" s="39">
        <v>6.6</v>
      </c>
      <c r="H807" s="39"/>
      <c r="I807" s="39"/>
      <c r="J807" s="39"/>
      <c r="K807" s="42" t="s">
        <v>1013</v>
      </c>
      <c r="L807" s="42" t="s">
        <v>247</v>
      </c>
      <c r="M807" s="48">
        <v>7</v>
      </c>
      <c r="N807" s="206">
        <v>638</v>
      </c>
      <c r="O807" s="48"/>
      <c r="P807" s="84"/>
      <c r="Q807" s="84"/>
      <c r="R807" s="84"/>
      <c r="S807" s="84"/>
      <c r="T807" s="84"/>
      <c r="U807" s="84"/>
      <c r="V807" s="84"/>
      <c r="W807" s="84"/>
      <c r="X807" s="84"/>
      <c r="Y807" s="84"/>
      <c r="Z807" s="84"/>
      <c r="AA807" s="84"/>
      <c r="AB807" s="84"/>
      <c r="AC807" s="84"/>
      <c r="AD807" s="84"/>
      <c r="AE807" s="84"/>
      <c r="AF807" s="84"/>
      <c r="AG807" s="118"/>
      <c r="AH807" s="84"/>
      <c r="AI807" s="84"/>
      <c r="AJ807" s="84"/>
      <c r="AK807" s="84"/>
      <c r="AL807" s="84"/>
      <c r="AM807" s="84"/>
      <c r="AN807" s="84"/>
      <c r="AO807" s="84"/>
      <c r="AP807" s="84"/>
      <c r="AQ807" s="84"/>
      <c r="AR807" s="84"/>
      <c r="AS807" s="84"/>
      <c r="AT807" s="84"/>
      <c r="AU807" s="84"/>
      <c r="AV807" s="84"/>
      <c r="AW807" s="84"/>
      <c r="AX807" s="84"/>
      <c r="AY807" s="84"/>
      <c r="AZ807" s="84"/>
      <c r="BA807" s="84"/>
      <c r="BB807" s="84"/>
      <c r="BC807" s="84"/>
      <c r="BD807" s="84"/>
      <c r="BE807" s="84"/>
      <c r="BF807" s="84"/>
      <c r="BG807" s="84"/>
      <c r="BH807" s="84"/>
      <c r="BI807" s="84"/>
      <c r="BJ807" s="78">
        <f t="shared" si="95"/>
        <v>0</v>
      </c>
      <c r="BK807" s="84"/>
      <c r="BL807" s="44">
        <v>41</v>
      </c>
      <c r="BM807" s="79">
        <f t="shared" si="96"/>
        <v>0</v>
      </c>
      <c r="BN807" s="75"/>
      <c r="BO807" s="75"/>
    </row>
    <row r="808" spans="1:67" s="4" customFormat="1" x14ac:dyDescent="0.3">
      <c r="A808" s="48">
        <v>93</v>
      </c>
      <c r="B808" s="50" t="s">
        <v>306</v>
      </c>
      <c r="C808" s="48" t="s">
        <v>29</v>
      </c>
      <c r="D808" s="41">
        <v>11.47</v>
      </c>
      <c r="E808" s="41"/>
      <c r="F808" s="41">
        <v>11.47</v>
      </c>
      <c r="G808" s="39">
        <v>11.3</v>
      </c>
      <c r="H808" s="39"/>
      <c r="I808" s="39"/>
      <c r="J808" s="39">
        <v>0.17</v>
      </c>
      <c r="K808" s="42" t="s">
        <v>1012</v>
      </c>
      <c r="L808" s="42" t="s">
        <v>247</v>
      </c>
      <c r="M808" s="48">
        <v>8</v>
      </c>
      <c r="N808" s="206">
        <v>639</v>
      </c>
      <c r="O808" s="48"/>
      <c r="P808" s="84"/>
      <c r="Q808" s="84"/>
      <c r="R808" s="84"/>
      <c r="S808" s="84"/>
      <c r="T808" s="84"/>
      <c r="U808" s="84"/>
      <c r="V808" s="84"/>
      <c r="W808" s="84"/>
      <c r="X808" s="84"/>
      <c r="Y808" s="84"/>
      <c r="Z808" s="84"/>
      <c r="AA808" s="84"/>
      <c r="AB808" s="84"/>
      <c r="AC808" s="84"/>
      <c r="AD808" s="84"/>
      <c r="AE808" s="84"/>
      <c r="AF808" s="84"/>
      <c r="AG808" s="118"/>
      <c r="AH808" s="84"/>
      <c r="AI808" s="84"/>
      <c r="AJ808" s="84"/>
      <c r="AK808" s="84"/>
      <c r="AL808" s="84"/>
      <c r="AM808" s="84"/>
      <c r="AN808" s="84"/>
      <c r="AO808" s="84">
        <v>0.17</v>
      </c>
      <c r="AP808" s="84"/>
      <c r="AQ808" s="84"/>
      <c r="AR808" s="84"/>
      <c r="AS808" s="84"/>
      <c r="AT808" s="84"/>
      <c r="AU808" s="84"/>
      <c r="AV808" s="84"/>
      <c r="AW808" s="84"/>
      <c r="AX808" s="84"/>
      <c r="AY808" s="84"/>
      <c r="AZ808" s="84"/>
      <c r="BA808" s="84"/>
      <c r="BB808" s="84"/>
      <c r="BC808" s="84"/>
      <c r="BD808" s="84"/>
      <c r="BE808" s="84"/>
      <c r="BF808" s="84"/>
      <c r="BG808" s="84"/>
      <c r="BH808" s="84"/>
      <c r="BI808" s="84"/>
      <c r="BJ808" s="78">
        <f t="shared" si="95"/>
        <v>0</v>
      </c>
      <c r="BK808" s="84"/>
      <c r="BL808" s="44">
        <v>41</v>
      </c>
      <c r="BM808" s="79">
        <f t="shared" si="96"/>
        <v>0</v>
      </c>
      <c r="BN808" s="75"/>
      <c r="BO808" s="75"/>
    </row>
    <row r="809" spans="1:67" s="4" customFormat="1" x14ac:dyDescent="0.3">
      <c r="A809" s="48">
        <v>94</v>
      </c>
      <c r="B809" s="50" t="s">
        <v>306</v>
      </c>
      <c r="C809" s="48" t="s">
        <v>29</v>
      </c>
      <c r="D809" s="41">
        <v>4.91</v>
      </c>
      <c r="E809" s="41"/>
      <c r="F809" s="41">
        <v>4.91</v>
      </c>
      <c r="G809" s="39">
        <f>3.6+0.11</f>
        <v>3.71</v>
      </c>
      <c r="H809" s="39"/>
      <c r="I809" s="39"/>
      <c r="J809" s="39">
        <v>1.2</v>
      </c>
      <c r="K809" s="42" t="s">
        <v>1011</v>
      </c>
      <c r="L809" s="42" t="s">
        <v>247</v>
      </c>
      <c r="M809" s="48">
        <v>9</v>
      </c>
      <c r="N809" s="206">
        <v>640</v>
      </c>
      <c r="O809" s="48"/>
      <c r="P809" s="84"/>
      <c r="Q809" s="84"/>
      <c r="R809" s="84"/>
      <c r="S809" s="84"/>
      <c r="T809" s="84"/>
      <c r="U809" s="84"/>
      <c r="V809" s="84"/>
      <c r="W809" s="84"/>
      <c r="X809" s="84"/>
      <c r="Y809" s="84"/>
      <c r="Z809" s="84"/>
      <c r="AA809" s="84"/>
      <c r="AB809" s="84"/>
      <c r="AC809" s="84"/>
      <c r="AD809" s="84"/>
      <c r="AE809" s="84"/>
      <c r="AF809" s="84"/>
      <c r="AG809" s="118">
        <v>0.08</v>
      </c>
      <c r="AH809" s="84"/>
      <c r="AI809" s="84"/>
      <c r="AJ809" s="84"/>
      <c r="AK809" s="84"/>
      <c r="AL809" s="84"/>
      <c r="AM809" s="84"/>
      <c r="AN809" s="84"/>
      <c r="AO809" s="84"/>
      <c r="AP809" s="84"/>
      <c r="AQ809" s="84"/>
      <c r="AR809" s="84"/>
      <c r="AS809" s="84"/>
      <c r="AT809" s="84"/>
      <c r="AU809" s="84"/>
      <c r="AV809" s="84"/>
      <c r="AW809" s="84"/>
      <c r="AX809" s="84"/>
      <c r="AY809" s="84"/>
      <c r="AZ809" s="84"/>
      <c r="BA809" s="84"/>
      <c r="BB809" s="84"/>
      <c r="BC809" s="84"/>
      <c r="BD809" s="84"/>
      <c r="BE809" s="84">
        <f>0.89+0.23</f>
        <v>1.1200000000000001</v>
      </c>
      <c r="BF809" s="84"/>
      <c r="BG809" s="84"/>
      <c r="BH809" s="84"/>
      <c r="BI809" s="84"/>
      <c r="BJ809" s="78">
        <f t="shared" si="95"/>
        <v>0</v>
      </c>
      <c r="BK809" s="84"/>
      <c r="BL809" s="44">
        <v>41</v>
      </c>
      <c r="BM809" s="79">
        <f t="shared" si="96"/>
        <v>0</v>
      </c>
      <c r="BN809" s="75"/>
      <c r="BO809" s="75"/>
    </row>
    <row r="810" spans="1:67" s="4" customFormat="1" x14ac:dyDescent="0.3">
      <c r="A810" s="48">
        <v>95</v>
      </c>
      <c r="B810" s="50" t="s">
        <v>306</v>
      </c>
      <c r="C810" s="48" t="s">
        <v>29</v>
      </c>
      <c r="D810" s="41">
        <v>2.89</v>
      </c>
      <c r="E810" s="41"/>
      <c r="F810" s="41">
        <v>2.89</v>
      </c>
      <c r="G810" s="39">
        <v>1.75</v>
      </c>
      <c r="H810" s="39"/>
      <c r="I810" s="39"/>
      <c r="J810" s="39">
        <v>1.1399999999999999</v>
      </c>
      <c r="K810" s="42" t="s">
        <v>1010</v>
      </c>
      <c r="L810" s="42" t="s">
        <v>247</v>
      </c>
      <c r="M810" s="48">
        <v>10</v>
      </c>
      <c r="N810" s="206">
        <v>641</v>
      </c>
      <c r="O810" s="48"/>
      <c r="P810" s="84"/>
      <c r="Q810" s="84"/>
      <c r="R810" s="84"/>
      <c r="S810" s="84"/>
      <c r="T810" s="84"/>
      <c r="U810" s="84"/>
      <c r="V810" s="84"/>
      <c r="W810" s="84"/>
      <c r="X810" s="84"/>
      <c r="Y810" s="84"/>
      <c r="Z810" s="84">
        <v>0.7</v>
      </c>
      <c r="AA810" s="84"/>
      <c r="AB810" s="84">
        <v>0.28000000000000003</v>
      </c>
      <c r="AC810" s="84"/>
      <c r="AD810" s="84"/>
      <c r="AE810" s="84"/>
      <c r="AF810" s="84"/>
      <c r="AG810" s="118"/>
      <c r="AH810" s="84"/>
      <c r="AI810" s="84"/>
      <c r="AJ810" s="84"/>
      <c r="AK810" s="84"/>
      <c r="AL810" s="84"/>
      <c r="AM810" s="84"/>
      <c r="AN810" s="84"/>
      <c r="AO810" s="84"/>
      <c r="AP810" s="84"/>
      <c r="AQ810" s="84"/>
      <c r="AR810" s="84"/>
      <c r="AS810" s="84"/>
      <c r="AT810" s="84"/>
      <c r="AU810" s="84"/>
      <c r="AV810" s="84"/>
      <c r="AW810" s="84">
        <v>0.09</v>
      </c>
      <c r="AX810" s="84"/>
      <c r="AY810" s="84"/>
      <c r="AZ810" s="84"/>
      <c r="BA810" s="84"/>
      <c r="BB810" s="84"/>
      <c r="BC810" s="84"/>
      <c r="BD810" s="84"/>
      <c r="BE810" s="84">
        <v>7.0000000000000007E-2</v>
      </c>
      <c r="BF810" s="84"/>
      <c r="BG810" s="84"/>
      <c r="BH810" s="84"/>
      <c r="BI810" s="84"/>
      <c r="BJ810" s="78">
        <f t="shared" si="95"/>
        <v>0</v>
      </c>
      <c r="BK810" s="84"/>
      <c r="BL810" s="44">
        <v>41</v>
      </c>
      <c r="BM810" s="79">
        <f t="shared" si="96"/>
        <v>0</v>
      </c>
      <c r="BN810" s="75"/>
      <c r="BO810" s="75"/>
    </row>
    <row r="811" spans="1:67" s="4" customFormat="1" x14ac:dyDescent="0.3">
      <c r="A811" s="48">
        <v>96</v>
      </c>
      <c r="B811" s="50" t="s">
        <v>306</v>
      </c>
      <c r="C811" s="48" t="s">
        <v>29</v>
      </c>
      <c r="D811" s="41">
        <v>9.74</v>
      </c>
      <c r="E811" s="41"/>
      <c r="F811" s="41">
        <v>9.74</v>
      </c>
      <c r="G811" s="39">
        <v>9.02</v>
      </c>
      <c r="H811" s="39"/>
      <c r="I811" s="39"/>
      <c r="J811" s="39">
        <v>0.72</v>
      </c>
      <c r="K811" s="42" t="s">
        <v>1009</v>
      </c>
      <c r="L811" s="42" t="s">
        <v>247</v>
      </c>
      <c r="M811" s="48">
        <v>11</v>
      </c>
      <c r="N811" s="206">
        <v>642</v>
      </c>
      <c r="O811" s="48"/>
      <c r="P811" s="84"/>
      <c r="Q811" s="84"/>
      <c r="R811" s="84"/>
      <c r="S811" s="84"/>
      <c r="T811" s="84"/>
      <c r="U811" s="84"/>
      <c r="V811" s="84"/>
      <c r="W811" s="84"/>
      <c r="X811" s="84"/>
      <c r="Y811" s="84"/>
      <c r="Z811" s="84"/>
      <c r="AA811" s="84"/>
      <c r="AB811" s="84"/>
      <c r="AC811" s="84"/>
      <c r="AD811" s="84"/>
      <c r="AE811" s="84"/>
      <c r="AF811" s="84"/>
      <c r="AG811" s="118"/>
      <c r="AH811" s="84"/>
      <c r="AI811" s="84"/>
      <c r="AJ811" s="84"/>
      <c r="AK811" s="84"/>
      <c r="AL811" s="84"/>
      <c r="AM811" s="84"/>
      <c r="AN811" s="84"/>
      <c r="AO811" s="84"/>
      <c r="AP811" s="84"/>
      <c r="AQ811" s="84"/>
      <c r="AR811" s="84"/>
      <c r="AS811" s="84"/>
      <c r="AT811" s="84"/>
      <c r="AU811" s="84"/>
      <c r="AV811" s="84"/>
      <c r="AW811" s="84"/>
      <c r="AX811" s="84"/>
      <c r="AY811" s="84"/>
      <c r="AZ811" s="84"/>
      <c r="BA811" s="84"/>
      <c r="BB811" s="84"/>
      <c r="BC811" s="84"/>
      <c r="BD811" s="84"/>
      <c r="BE811" s="84">
        <f>0.28+0.14+0.3</f>
        <v>0.72</v>
      </c>
      <c r="BF811" s="84"/>
      <c r="BG811" s="84"/>
      <c r="BH811" s="84"/>
      <c r="BI811" s="84"/>
      <c r="BJ811" s="78">
        <f t="shared" si="95"/>
        <v>0</v>
      </c>
      <c r="BK811" s="84"/>
      <c r="BL811" s="44">
        <v>41</v>
      </c>
      <c r="BM811" s="79">
        <f t="shared" si="96"/>
        <v>0</v>
      </c>
      <c r="BN811" s="75"/>
      <c r="BO811" s="75"/>
    </row>
    <row r="812" spans="1:67" s="4" customFormat="1" x14ac:dyDescent="0.3">
      <c r="A812" s="48">
        <v>97</v>
      </c>
      <c r="B812" s="50" t="s">
        <v>306</v>
      </c>
      <c r="C812" s="48" t="s">
        <v>29</v>
      </c>
      <c r="D812" s="41">
        <v>4.6999999999999993</v>
      </c>
      <c r="E812" s="41"/>
      <c r="F812" s="41">
        <v>4.6999999999999993</v>
      </c>
      <c r="G812" s="39">
        <v>4.22</v>
      </c>
      <c r="H812" s="39"/>
      <c r="I812" s="39"/>
      <c r="J812" s="39">
        <v>0.48</v>
      </c>
      <c r="K812" s="42" t="s">
        <v>1022</v>
      </c>
      <c r="L812" s="42" t="s">
        <v>247</v>
      </c>
      <c r="M812" s="48">
        <v>12</v>
      </c>
      <c r="N812" s="206">
        <v>643</v>
      </c>
      <c r="O812" s="48"/>
      <c r="P812" s="84"/>
      <c r="Q812" s="84"/>
      <c r="R812" s="84"/>
      <c r="S812" s="84"/>
      <c r="T812" s="84"/>
      <c r="U812" s="84"/>
      <c r="V812" s="84"/>
      <c r="W812" s="84"/>
      <c r="X812" s="84"/>
      <c r="Y812" s="84"/>
      <c r="Z812" s="84"/>
      <c r="AA812" s="84"/>
      <c r="AB812" s="84"/>
      <c r="AC812" s="84"/>
      <c r="AD812" s="84"/>
      <c r="AE812" s="84"/>
      <c r="AF812" s="84"/>
      <c r="AG812" s="118"/>
      <c r="AH812" s="84"/>
      <c r="AI812" s="84"/>
      <c r="AJ812" s="84"/>
      <c r="AK812" s="84"/>
      <c r="AL812" s="84"/>
      <c r="AM812" s="84"/>
      <c r="AN812" s="84"/>
      <c r="AO812" s="84">
        <v>0.48</v>
      </c>
      <c r="AP812" s="84"/>
      <c r="AQ812" s="84"/>
      <c r="AR812" s="84"/>
      <c r="AS812" s="84"/>
      <c r="AT812" s="84"/>
      <c r="AU812" s="84"/>
      <c r="AV812" s="84"/>
      <c r="AW812" s="84"/>
      <c r="AX812" s="84"/>
      <c r="AY812" s="84"/>
      <c r="AZ812" s="84"/>
      <c r="BA812" s="84"/>
      <c r="BB812" s="84"/>
      <c r="BC812" s="84"/>
      <c r="BD812" s="84"/>
      <c r="BE812" s="84"/>
      <c r="BF812" s="84"/>
      <c r="BG812" s="84"/>
      <c r="BH812" s="84"/>
      <c r="BI812" s="84"/>
      <c r="BJ812" s="78">
        <f t="shared" ref="BJ812:BJ873" si="97">D812-E812-F812</f>
        <v>0</v>
      </c>
      <c r="BK812" s="84"/>
      <c r="BL812" s="44">
        <v>41</v>
      </c>
      <c r="BM812" s="79">
        <f t="shared" si="96"/>
        <v>0</v>
      </c>
      <c r="BN812" s="75"/>
      <c r="BO812" s="75"/>
    </row>
    <row r="813" spans="1:67" s="4" customFormat="1" x14ac:dyDescent="0.3">
      <c r="A813" s="48">
        <v>98</v>
      </c>
      <c r="B813" s="50" t="s">
        <v>306</v>
      </c>
      <c r="C813" s="48" t="s">
        <v>29</v>
      </c>
      <c r="D813" s="41">
        <v>3.08</v>
      </c>
      <c r="E813" s="41"/>
      <c r="F813" s="41">
        <v>3.08</v>
      </c>
      <c r="G813" s="39">
        <v>2.17</v>
      </c>
      <c r="H813" s="39"/>
      <c r="I813" s="39"/>
      <c r="J813" s="39">
        <v>0.91</v>
      </c>
      <c r="K813" s="42" t="s">
        <v>1023</v>
      </c>
      <c r="L813" s="42" t="s">
        <v>247</v>
      </c>
      <c r="M813" s="48">
        <v>13</v>
      </c>
      <c r="N813" s="206">
        <v>644</v>
      </c>
      <c r="O813" s="48"/>
      <c r="P813" s="84"/>
      <c r="Q813" s="84"/>
      <c r="R813" s="84"/>
      <c r="S813" s="84"/>
      <c r="T813" s="84"/>
      <c r="U813" s="84"/>
      <c r="V813" s="84"/>
      <c r="W813" s="84"/>
      <c r="X813" s="84"/>
      <c r="Y813" s="84"/>
      <c r="Z813" s="84">
        <v>0.86</v>
      </c>
      <c r="AA813" s="84"/>
      <c r="AB813" s="84"/>
      <c r="AC813" s="84"/>
      <c r="AD813" s="84"/>
      <c r="AE813" s="84"/>
      <c r="AF813" s="84"/>
      <c r="AG813" s="118"/>
      <c r="AH813" s="84"/>
      <c r="AI813" s="84"/>
      <c r="AJ813" s="84"/>
      <c r="AK813" s="84"/>
      <c r="AL813" s="84"/>
      <c r="AM813" s="84"/>
      <c r="AN813" s="84"/>
      <c r="AO813" s="84"/>
      <c r="AP813" s="84"/>
      <c r="AQ813" s="84"/>
      <c r="AR813" s="84"/>
      <c r="AS813" s="84"/>
      <c r="AT813" s="84"/>
      <c r="AU813" s="84"/>
      <c r="AV813" s="84"/>
      <c r="AW813" s="84"/>
      <c r="AX813" s="84"/>
      <c r="AY813" s="84"/>
      <c r="AZ813" s="84"/>
      <c r="BA813" s="84"/>
      <c r="BB813" s="84"/>
      <c r="BC813" s="84"/>
      <c r="BD813" s="84"/>
      <c r="BE813" s="84">
        <v>0.05</v>
      </c>
      <c r="BF813" s="84"/>
      <c r="BG813" s="84"/>
      <c r="BH813" s="84"/>
      <c r="BI813" s="84"/>
      <c r="BJ813" s="78">
        <f t="shared" si="97"/>
        <v>0</v>
      </c>
      <c r="BK813" s="84"/>
      <c r="BL813" s="44">
        <v>41</v>
      </c>
      <c r="BM813" s="79">
        <f t="shared" si="96"/>
        <v>0</v>
      </c>
      <c r="BN813" s="75"/>
      <c r="BO813" s="75"/>
    </row>
    <row r="814" spans="1:67" s="4" customFormat="1" x14ac:dyDescent="0.3">
      <c r="A814" s="48">
        <v>99</v>
      </c>
      <c r="B814" s="50" t="s">
        <v>306</v>
      </c>
      <c r="C814" s="48" t="s">
        <v>29</v>
      </c>
      <c r="D814" s="41">
        <v>1.5</v>
      </c>
      <c r="E814" s="41"/>
      <c r="F814" s="41">
        <v>1.5</v>
      </c>
      <c r="G814" s="39"/>
      <c r="H814" s="39"/>
      <c r="I814" s="39"/>
      <c r="J814" s="39">
        <v>1.5</v>
      </c>
      <c r="K814" s="42" t="s">
        <v>1024</v>
      </c>
      <c r="L814" s="42" t="s">
        <v>247</v>
      </c>
      <c r="M814" s="48">
        <v>14</v>
      </c>
      <c r="N814" s="206">
        <v>645</v>
      </c>
      <c r="O814" s="48"/>
      <c r="P814" s="84"/>
      <c r="Q814" s="84"/>
      <c r="R814" s="84"/>
      <c r="S814" s="84"/>
      <c r="T814" s="84"/>
      <c r="U814" s="84"/>
      <c r="V814" s="84"/>
      <c r="W814" s="84"/>
      <c r="X814" s="84">
        <v>1.5</v>
      </c>
      <c r="Y814" s="84"/>
      <c r="Z814" s="84"/>
      <c r="AA814" s="84"/>
      <c r="AB814" s="84"/>
      <c r="AC814" s="84"/>
      <c r="AD814" s="84"/>
      <c r="AE814" s="84"/>
      <c r="AF814" s="84"/>
      <c r="AG814" s="118"/>
      <c r="AH814" s="84"/>
      <c r="AI814" s="84"/>
      <c r="AJ814" s="84"/>
      <c r="AK814" s="84"/>
      <c r="AL814" s="84"/>
      <c r="AM814" s="84"/>
      <c r="AN814" s="84"/>
      <c r="AO814" s="84"/>
      <c r="AP814" s="84"/>
      <c r="AQ814" s="84"/>
      <c r="AR814" s="84"/>
      <c r="AS814" s="84"/>
      <c r="AT814" s="84"/>
      <c r="AU814" s="84"/>
      <c r="AV814" s="84"/>
      <c r="AW814" s="84"/>
      <c r="AX814" s="84"/>
      <c r="AY814" s="84"/>
      <c r="AZ814" s="84"/>
      <c r="BA814" s="84"/>
      <c r="BB814" s="84"/>
      <c r="BC814" s="84"/>
      <c r="BD814" s="84"/>
      <c r="BE814" s="84"/>
      <c r="BF814" s="84"/>
      <c r="BG814" s="84"/>
      <c r="BH814" s="84"/>
      <c r="BI814" s="84"/>
      <c r="BJ814" s="78">
        <f t="shared" si="97"/>
        <v>0</v>
      </c>
      <c r="BK814" s="84"/>
      <c r="BL814" s="44">
        <v>41</v>
      </c>
      <c r="BM814" s="79">
        <f t="shared" si="96"/>
        <v>0</v>
      </c>
      <c r="BN814" s="75"/>
      <c r="BO814" s="75"/>
    </row>
    <row r="815" spans="1:67" s="4" customFormat="1" x14ac:dyDescent="0.3">
      <c r="A815" s="48">
        <v>100</v>
      </c>
      <c r="B815" s="50" t="s">
        <v>306</v>
      </c>
      <c r="C815" s="48" t="s">
        <v>29</v>
      </c>
      <c r="D815" s="41">
        <v>10.220000000000001</v>
      </c>
      <c r="E815" s="41"/>
      <c r="F815" s="41">
        <v>10.220000000000001</v>
      </c>
      <c r="G815" s="39">
        <v>0.13</v>
      </c>
      <c r="H815" s="39"/>
      <c r="I815" s="39"/>
      <c r="J815" s="39">
        <v>10.09</v>
      </c>
      <c r="K815" s="42" t="s">
        <v>428</v>
      </c>
      <c r="L815" s="42" t="s">
        <v>247</v>
      </c>
      <c r="M815" s="48">
        <v>15</v>
      </c>
      <c r="N815" s="206">
        <v>646</v>
      </c>
      <c r="O815" s="48"/>
      <c r="P815" s="84"/>
      <c r="Q815" s="84"/>
      <c r="R815" s="84"/>
      <c r="S815" s="84"/>
      <c r="T815" s="84"/>
      <c r="U815" s="84"/>
      <c r="V815" s="84"/>
      <c r="W815" s="84"/>
      <c r="X815" s="84">
        <v>5.76</v>
      </c>
      <c r="Y815" s="84"/>
      <c r="Z815" s="84">
        <v>3.05</v>
      </c>
      <c r="AA815" s="84"/>
      <c r="AB815" s="84"/>
      <c r="AC815" s="84"/>
      <c r="AD815" s="84"/>
      <c r="AE815" s="84"/>
      <c r="AF815" s="84"/>
      <c r="AG815" s="118"/>
      <c r="AH815" s="84"/>
      <c r="AI815" s="84"/>
      <c r="AJ815" s="84"/>
      <c r="AK815" s="84"/>
      <c r="AL815" s="84"/>
      <c r="AM815" s="84"/>
      <c r="AN815" s="84"/>
      <c r="AO815" s="84">
        <v>0.33</v>
      </c>
      <c r="AP815" s="84"/>
      <c r="AQ815" s="84"/>
      <c r="AR815" s="84"/>
      <c r="AS815" s="84"/>
      <c r="AT815" s="84"/>
      <c r="AU815" s="84"/>
      <c r="AV815" s="84"/>
      <c r="AW815" s="84"/>
      <c r="AX815" s="84"/>
      <c r="AY815" s="84"/>
      <c r="AZ815" s="84"/>
      <c r="BA815" s="84"/>
      <c r="BB815" s="84"/>
      <c r="BC815" s="84"/>
      <c r="BD815" s="84"/>
      <c r="BE815" s="84">
        <f>0.03+0.08+0.44+0.4</f>
        <v>0.95000000000000007</v>
      </c>
      <c r="BF815" s="84"/>
      <c r="BG815" s="84"/>
      <c r="BH815" s="84"/>
      <c r="BI815" s="84"/>
      <c r="BJ815" s="78">
        <f t="shared" si="97"/>
        <v>0</v>
      </c>
      <c r="BK815" s="84"/>
      <c r="BL815" s="44">
        <v>41</v>
      </c>
      <c r="BM815" s="79">
        <f t="shared" si="96"/>
        <v>0</v>
      </c>
      <c r="BN815" s="75"/>
      <c r="BO815" s="75"/>
    </row>
    <row r="816" spans="1:67" s="4" customFormat="1" x14ac:dyDescent="0.3">
      <c r="A816" s="48">
        <v>101</v>
      </c>
      <c r="B816" s="50" t="s">
        <v>306</v>
      </c>
      <c r="C816" s="48" t="s">
        <v>29</v>
      </c>
      <c r="D816" s="41">
        <v>10.75</v>
      </c>
      <c r="E816" s="41"/>
      <c r="F816" s="41">
        <v>10.75</v>
      </c>
      <c r="G816" s="39">
        <v>6.8</v>
      </c>
      <c r="H816" s="39"/>
      <c r="I816" s="39"/>
      <c r="J816" s="39">
        <v>3.95</v>
      </c>
      <c r="K816" s="42" t="s">
        <v>1008</v>
      </c>
      <c r="L816" s="42" t="s">
        <v>247</v>
      </c>
      <c r="M816" s="48">
        <v>16</v>
      </c>
      <c r="N816" s="206">
        <v>647</v>
      </c>
      <c r="O816" s="48"/>
      <c r="P816" s="84"/>
      <c r="Q816" s="84"/>
      <c r="R816" s="84"/>
      <c r="S816" s="84"/>
      <c r="T816" s="84"/>
      <c r="U816" s="84"/>
      <c r="V816" s="84"/>
      <c r="W816" s="84"/>
      <c r="X816" s="84"/>
      <c r="Y816" s="84"/>
      <c r="Z816" s="84">
        <v>3.42</v>
      </c>
      <c r="AA816" s="84"/>
      <c r="AB816" s="84"/>
      <c r="AC816" s="84"/>
      <c r="AD816" s="84"/>
      <c r="AE816" s="84"/>
      <c r="AF816" s="84"/>
      <c r="AG816" s="84"/>
      <c r="AH816" s="84"/>
      <c r="AI816" s="84"/>
      <c r="AJ816" s="84"/>
      <c r="AK816" s="84"/>
      <c r="AL816" s="84"/>
      <c r="AM816" s="84">
        <v>0.26</v>
      </c>
      <c r="AN816" s="84"/>
      <c r="AO816" s="118"/>
      <c r="AP816" s="84"/>
      <c r="AQ816" s="84"/>
      <c r="AR816" s="84"/>
      <c r="AS816" s="84"/>
      <c r="AT816" s="84"/>
      <c r="AU816" s="84"/>
      <c r="AV816" s="84"/>
      <c r="AW816" s="84"/>
      <c r="AX816" s="84"/>
      <c r="AY816" s="84"/>
      <c r="AZ816" s="84"/>
      <c r="BA816" s="84"/>
      <c r="BB816" s="84"/>
      <c r="BC816" s="84"/>
      <c r="BD816" s="84"/>
      <c r="BE816" s="84">
        <v>0.19</v>
      </c>
      <c r="BF816" s="84">
        <v>0.08</v>
      </c>
      <c r="BG816" s="84"/>
      <c r="BH816" s="84"/>
      <c r="BI816" s="84"/>
      <c r="BJ816" s="78">
        <f t="shared" si="97"/>
        <v>0</v>
      </c>
      <c r="BK816" s="84"/>
      <c r="BL816" s="44">
        <v>41</v>
      </c>
      <c r="BM816" s="79">
        <f t="shared" si="96"/>
        <v>0</v>
      </c>
      <c r="BN816" s="75"/>
      <c r="BO816" s="75"/>
    </row>
    <row r="817" spans="1:67" s="4" customFormat="1" x14ac:dyDescent="0.3">
      <c r="A817" s="48">
        <v>102</v>
      </c>
      <c r="B817" s="50" t="s">
        <v>306</v>
      </c>
      <c r="C817" s="48" t="s">
        <v>29</v>
      </c>
      <c r="D817" s="39">
        <v>5.89</v>
      </c>
      <c r="E817" s="39"/>
      <c r="F817" s="39">
        <v>5.89</v>
      </c>
      <c r="G817" s="39"/>
      <c r="H817" s="39"/>
      <c r="I817" s="39"/>
      <c r="J817" s="39">
        <v>5.89</v>
      </c>
      <c r="K817" s="42" t="s">
        <v>1007</v>
      </c>
      <c r="L817" s="42" t="s">
        <v>247</v>
      </c>
      <c r="M817" s="48">
        <v>17</v>
      </c>
      <c r="N817" s="206">
        <v>648</v>
      </c>
      <c r="O817" s="48"/>
      <c r="P817" s="84"/>
      <c r="Q817" s="84"/>
      <c r="R817" s="84"/>
      <c r="S817" s="84"/>
      <c r="T817" s="84"/>
      <c r="U817" s="84"/>
      <c r="V817" s="84"/>
      <c r="W817" s="84"/>
      <c r="X817" s="84">
        <v>2</v>
      </c>
      <c r="Y817" s="84"/>
      <c r="Z817" s="84">
        <v>3.3</v>
      </c>
      <c r="AA817" s="84">
        <v>0.09</v>
      </c>
      <c r="AB817" s="84"/>
      <c r="AC817" s="84"/>
      <c r="AD817" s="84"/>
      <c r="AE817" s="84"/>
      <c r="AF817" s="84"/>
      <c r="AG817" s="84"/>
      <c r="AH817" s="84"/>
      <c r="AI817" s="84"/>
      <c r="AJ817" s="84"/>
      <c r="AK817" s="84"/>
      <c r="AL817" s="84"/>
      <c r="AM817" s="84"/>
      <c r="AN817" s="84"/>
      <c r="AO817" s="84"/>
      <c r="AP817" s="84"/>
      <c r="AQ817" s="84"/>
      <c r="AR817" s="84"/>
      <c r="AS817" s="84"/>
      <c r="AT817" s="84"/>
      <c r="AU817" s="84"/>
      <c r="AV817" s="84"/>
      <c r="AW817" s="84">
        <v>0.11</v>
      </c>
      <c r="AX817" s="84"/>
      <c r="AY817" s="84"/>
      <c r="AZ817" s="84"/>
      <c r="BA817" s="84"/>
      <c r="BB817" s="84">
        <v>0.27</v>
      </c>
      <c r="BC817" s="84"/>
      <c r="BD817" s="84"/>
      <c r="BE817" s="84">
        <v>0.12</v>
      </c>
      <c r="BF817" s="84"/>
      <c r="BG817" s="84"/>
      <c r="BH817" s="84"/>
      <c r="BI817" s="84"/>
      <c r="BJ817" s="78">
        <f t="shared" si="97"/>
        <v>0</v>
      </c>
      <c r="BK817" s="84"/>
      <c r="BL817" s="44">
        <v>41</v>
      </c>
      <c r="BM817" s="79">
        <f t="shared" si="96"/>
        <v>0</v>
      </c>
      <c r="BN817" s="75"/>
      <c r="BO817" s="75"/>
    </row>
    <row r="818" spans="1:67" s="4" customFormat="1" x14ac:dyDescent="0.3">
      <c r="A818" s="48">
        <v>103</v>
      </c>
      <c r="B818" s="50" t="s">
        <v>306</v>
      </c>
      <c r="C818" s="48" t="s">
        <v>29</v>
      </c>
      <c r="D818" s="39">
        <v>2.56</v>
      </c>
      <c r="E818" s="39"/>
      <c r="F818" s="39">
        <v>2.56</v>
      </c>
      <c r="G818" s="39">
        <v>1.24</v>
      </c>
      <c r="H818" s="39"/>
      <c r="I818" s="39"/>
      <c r="J818" s="39">
        <v>1.32</v>
      </c>
      <c r="K818" s="42" t="s">
        <v>963</v>
      </c>
      <c r="L818" s="42" t="s">
        <v>247</v>
      </c>
      <c r="M818" s="48">
        <v>18</v>
      </c>
      <c r="N818" s="206">
        <v>649</v>
      </c>
      <c r="O818" s="48"/>
      <c r="P818" s="84"/>
      <c r="Q818" s="84"/>
      <c r="R818" s="84"/>
      <c r="S818" s="84"/>
      <c r="T818" s="84"/>
      <c r="U818" s="84"/>
      <c r="V818" s="84"/>
      <c r="W818" s="84"/>
      <c r="X818" s="84">
        <v>1.0900000000000001</v>
      </c>
      <c r="Y818" s="84"/>
      <c r="Z818" s="84"/>
      <c r="AA818" s="84"/>
      <c r="AB818" s="84"/>
      <c r="AC818" s="84"/>
      <c r="AD818" s="84"/>
      <c r="AE818" s="84"/>
      <c r="AF818" s="84"/>
      <c r="AG818" s="84"/>
      <c r="AH818" s="84"/>
      <c r="AI818" s="84"/>
      <c r="AJ818" s="84"/>
      <c r="AK818" s="84"/>
      <c r="AL818" s="84"/>
      <c r="AM818" s="84"/>
      <c r="AN818" s="84"/>
      <c r="AO818" s="84"/>
      <c r="AP818" s="84"/>
      <c r="AQ818" s="84"/>
      <c r="AR818" s="84"/>
      <c r="AS818" s="84"/>
      <c r="AT818" s="84"/>
      <c r="AU818" s="84"/>
      <c r="AV818" s="84"/>
      <c r="AW818" s="84"/>
      <c r="AX818" s="84"/>
      <c r="AY818" s="84"/>
      <c r="AZ818" s="84"/>
      <c r="BA818" s="84"/>
      <c r="BB818" s="84"/>
      <c r="BC818" s="84"/>
      <c r="BD818" s="84"/>
      <c r="BE818" s="84">
        <v>0.23</v>
      </c>
      <c r="BF818" s="84"/>
      <c r="BG818" s="84"/>
      <c r="BH818" s="84"/>
      <c r="BI818" s="84"/>
      <c r="BJ818" s="78">
        <f t="shared" si="97"/>
        <v>0</v>
      </c>
      <c r="BK818" s="84"/>
      <c r="BL818" s="44">
        <v>41</v>
      </c>
      <c r="BM818" s="79">
        <f t="shared" si="96"/>
        <v>0</v>
      </c>
      <c r="BN818" s="75"/>
      <c r="BO818" s="75"/>
    </row>
    <row r="819" spans="1:67" s="4" customFormat="1" x14ac:dyDescent="0.3">
      <c r="A819" s="48">
        <v>104</v>
      </c>
      <c r="B819" s="50" t="s">
        <v>306</v>
      </c>
      <c r="C819" s="48" t="s">
        <v>29</v>
      </c>
      <c r="D819" s="39">
        <v>0.85</v>
      </c>
      <c r="E819" s="39"/>
      <c r="F819" s="39">
        <v>0.85</v>
      </c>
      <c r="G819" s="39"/>
      <c r="H819" s="39"/>
      <c r="I819" s="39"/>
      <c r="J819" s="39">
        <v>0.85</v>
      </c>
      <c r="K819" s="42" t="s">
        <v>423</v>
      </c>
      <c r="L819" s="42" t="s">
        <v>247</v>
      </c>
      <c r="M819" s="48">
        <v>19</v>
      </c>
      <c r="N819" s="206">
        <v>650</v>
      </c>
      <c r="O819" s="48"/>
      <c r="P819" s="84"/>
      <c r="Q819" s="84"/>
      <c r="R819" s="84"/>
      <c r="S819" s="84"/>
      <c r="T819" s="84"/>
      <c r="U819" s="84"/>
      <c r="V819" s="84"/>
      <c r="W819" s="84"/>
      <c r="X819" s="84"/>
      <c r="Y819" s="84"/>
      <c r="Z819" s="84">
        <f>0.36+0.42</f>
        <v>0.78</v>
      </c>
      <c r="AA819" s="84"/>
      <c r="AB819" s="84">
        <v>7.0000000000000007E-2</v>
      </c>
      <c r="AC819" s="84"/>
      <c r="AD819" s="84"/>
      <c r="AE819" s="84"/>
      <c r="AF819" s="84"/>
      <c r="AG819" s="84"/>
      <c r="AH819" s="84"/>
      <c r="AI819" s="84"/>
      <c r="AJ819" s="84"/>
      <c r="AK819" s="84"/>
      <c r="AL819" s="84"/>
      <c r="AM819" s="84"/>
      <c r="AN819" s="84"/>
      <c r="AO819" s="84"/>
      <c r="AP819" s="84"/>
      <c r="AQ819" s="84"/>
      <c r="AR819" s="84"/>
      <c r="AS819" s="84"/>
      <c r="AT819" s="84"/>
      <c r="AU819" s="84"/>
      <c r="AV819" s="84"/>
      <c r="AW819" s="84"/>
      <c r="AX819" s="84"/>
      <c r="AY819" s="84"/>
      <c r="AZ819" s="84"/>
      <c r="BA819" s="84"/>
      <c r="BB819" s="84"/>
      <c r="BC819" s="84"/>
      <c r="BD819" s="84"/>
      <c r="BE819" s="118"/>
      <c r="BF819" s="84"/>
      <c r="BG819" s="84"/>
      <c r="BH819" s="84"/>
      <c r="BI819" s="84"/>
      <c r="BJ819" s="78">
        <f t="shared" si="97"/>
        <v>0</v>
      </c>
      <c r="BK819" s="84"/>
      <c r="BL819" s="44">
        <v>41</v>
      </c>
      <c r="BM819" s="79">
        <f t="shared" si="96"/>
        <v>0</v>
      </c>
      <c r="BN819" s="75"/>
      <c r="BO819" s="75"/>
    </row>
    <row r="820" spans="1:67" s="4" customFormat="1" x14ac:dyDescent="0.3">
      <c r="A820" s="48">
        <v>105</v>
      </c>
      <c r="B820" s="50" t="s">
        <v>306</v>
      </c>
      <c r="C820" s="48" t="s">
        <v>29</v>
      </c>
      <c r="D820" s="41">
        <v>10.56</v>
      </c>
      <c r="E820" s="41"/>
      <c r="F820" s="41">
        <v>10.56</v>
      </c>
      <c r="G820" s="39">
        <f>2+7</f>
        <v>9</v>
      </c>
      <c r="H820" s="39"/>
      <c r="I820" s="39"/>
      <c r="J820" s="39">
        <v>1.56</v>
      </c>
      <c r="K820" s="42" t="s">
        <v>978</v>
      </c>
      <c r="L820" s="42" t="s">
        <v>261</v>
      </c>
      <c r="M820" s="48">
        <v>4</v>
      </c>
      <c r="N820" s="206">
        <v>652</v>
      </c>
      <c r="O820" s="48"/>
      <c r="P820" s="84"/>
      <c r="Q820" s="84"/>
      <c r="R820" s="84"/>
      <c r="S820" s="84"/>
      <c r="T820" s="84"/>
      <c r="U820" s="84"/>
      <c r="V820" s="84"/>
      <c r="W820" s="84"/>
      <c r="X820" s="84"/>
      <c r="Y820" s="84"/>
      <c r="Z820" s="84"/>
      <c r="AA820" s="84"/>
      <c r="AB820" s="44"/>
      <c r="AC820" s="84"/>
      <c r="AD820" s="84"/>
      <c r="AE820" s="84"/>
      <c r="AF820" s="84"/>
      <c r="AG820" s="118"/>
      <c r="AH820" s="84"/>
      <c r="AI820" s="84"/>
      <c r="AJ820" s="84"/>
      <c r="AK820" s="84"/>
      <c r="AL820" s="84"/>
      <c r="AM820" s="84"/>
      <c r="AN820" s="84"/>
      <c r="AO820" s="84"/>
      <c r="AP820" s="84"/>
      <c r="AQ820" s="84">
        <f>0.3+0.56</f>
        <v>0.8600000000000001</v>
      </c>
      <c r="AR820" s="84">
        <v>0.7</v>
      </c>
      <c r="AS820" s="84"/>
      <c r="AT820" s="84"/>
      <c r="AU820" s="84"/>
      <c r="AV820" s="84"/>
      <c r="AW820" s="84"/>
      <c r="AX820" s="84"/>
      <c r="AY820" s="84"/>
      <c r="AZ820" s="84"/>
      <c r="BA820" s="84"/>
      <c r="BB820" s="84"/>
      <c r="BC820" s="84"/>
      <c r="BD820" s="84"/>
      <c r="BE820" s="84"/>
      <c r="BF820" s="84"/>
      <c r="BG820" s="84"/>
      <c r="BH820" s="84"/>
      <c r="BI820" s="84"/>
      <c r="BJ820" s="78">
        <f t="shared" si="97"/>
        <v>0</v>
      </c>
      <c r="BK820" s="84"/>
      <c r="BL820" s="44">
        <v>41</v>
      </c>
      <c r="BM820" s="79">
        <f t="shared" si="96"/>
        <v>0</v>
      </c>
      <c r="BN820" s="75"/>
      <c r="BO820" s="75"/>
    </row>
    <row r="821" spans="1:67" s="4" customFormat="1" x14ac:dyDescent="0.3">
      <c r="A821" s="48">
        <v>106</v>
      </c>
      <c r="B821" s="50" t="s">
        <v>306</v>
      </c>
      <c r="C821" s="48" t="s">
        <v>29</v>
      </c>
      <c r="D821" s="41">
        <v>5.04</v>
      </c>
      <c r="E821" s="41"/>
      <c r="F821" s="41">
        <v>5.04</v>
      </c>
      <c r="G821" s="39">
        <f>5-0.76</f>
        <v>4.24</v>
      </c>
      <c r="H821" s="39"/>
      <c r="I821" s="39"/>
      <c r="J821" s="39">
        <v>0.8</v>
      </c>
      <c r="K821" s="42" t="s">
        <v>428</v>
      </c>
      <c r="L821" s="42" t="s">
        <v>261</v>
      </c>
      <c r="M821" s="48">
        <v>5</v>
      </c>
      <c r="N821" s="206">
        <v>653</v>
      </c>
      <c r="O821" s="48"/>
      <c r="P821" s="84"/>
      <c r="Q821" s="84"/>
      <c r="R821" s="84"/>
      <c r="S821" s="84"/>
      <c r="T821" s="84"/>
      <c r="U821" s="84"/>
      <c r="V821" s="84"/>
      <c r="W821" s="84"/>
      <c r="X821" s="84"/>
      <c r="Y821" s="84"/>
      <c r="Z821" s="84"/>
      <c r="AA821" s="84"/>
      <c r="AB821" s="84"/>
      <c r="AC821" s="84"/>
      <c r="AD821" s="84"/>
      <c r="AE821" s="84"/>
      <c r="AF821" s="84"/>
      <c r="AG821" s="118"/>
      <c r="AH821" s="84"/>
      <c r="AI821" s="84"/>
      <c r="AJ821" s="84"/>
      <c r="AK821" s="84"/>
      <c r="AL821" s="84"/>
      <c r="AM821" s="84"/>
      <c r="AN821" s="84"/>
      <c r="AO821" s="84"/>
      <c r="AP821" s="84"/>
      <c r="AQ821" s="84">
        <v>0.5</v>
      </c>
      <c r="AR821" s="84">
        <v>0.3</v>
      </c>
      <c r="AS821" s="84"/>
      <c r="AT821" s="84"/>
      <c r="AU821" s="84"/>
      <c r="AV821" s="84"/>
      <c r="AW821" s="84"/>
      <c r="AX821" s="84"/>
      <c r="AY821" s="84"/>
      <c r="AZ821" s="84"/>
      <c r="BA821" s="84"/>
      <c r="BB821" s="84"/>
      <c r="BC821" s="84"/>
      <c r="BD821" s="84"/>
      <c r="BE821" s="84"/>
      <c r="BF821" s="84"/>
      <c r="BG821" s="84"/>
      <c r="BH821" s="84"/>
      <c r="BI821" s="84"/>
      <c r="BJ821" s="78">
        <f t="shared" si="97"/>
        <v>0</v>
      </c>
      <c r="BK821" s="84"/>
      <c r="BL821" s="44">
        <v>41</v>
      </c>
      <c r="BM821" s="79">
        <f t="shared" si="96"/>
        <v>0</v>
      </c>
      <c r="BN821" s="75"/>
      <c r="BO821" s="75"/>
    </row>
    <row r="822" spans="1:67" s="4" customFormat="1" x14ac:dyDescent="0.3">
      <c r="A822" s="48">
        <v>107</v>
      </c>
      <c r="B822" s="50" t="s">
        <v>306</v>
      </c>
      <c r="C822" s="48" t="s">
        <v>29</v>
      </c>
      <c r="D822" s="41">
        <v>1.45</v>
      </c>
      <c r="E822" s="41"/>
      <c r="F822" s="41">
        <v>1.45</v>
      </c>
      <c r="G822" s="39">
        <v>1.1599999999999999</v>
      </c>
      <c r="H822" s="39"/>
      <c r="I822" s="39"/>
      <c r="J822" s="39">
        <v>0.28999999999999998</v>
      </c>
      <c r="K822" s="42" t="s">
        <v>1006</v>
      </c>
      <c r="L822" s="42" t="s">
        <v>261</v>
      </c>
      <c r="M822" s="48">
        <v>6</v>
      </c>
      <c r="N822" s="206">
        <v>654</v>
      </c>
      <c r="O822" s="48"/>
      <c r="P822" s="84"/>
      <c r="Q822" s="84"/>
      <c r="R822" s="84"/>
      <c r="S822" s="84"/>
      <c r="T822" s="84"/>
      <c r="U822" s="84"/>
      <c r="V822" s="84"/>
      <c r="W822" s="84"/>
      <c r="X822" s="84"/>
      <c r="Y822" s="84"/>
      <c r="Z822" s="84">
        <v>0.19</v>
      </c>
      <c r="AA822" s="84"/>
      <c r="AB822" s="84"/>
      <c r="AC822" s="84"/>
      <c r="AD822" s="84"/>
      <c r="AE822" s="84"/>
      <c r="AF822" s="84"/>
      <c r="AG822" s="118"/>
      <c r="AH822" s="84"/>
      <c r="AI822" s="84"/>
      <c r="AJ822" s="84"/>
      <c r="AK822" s="84"/>
      <c r="AL822" s="84"/>
      <c r="AM822" s="84"/>
      <c r="AN822" s="84"/>
      <c r="AO822" s="84"/>
      <c r="AP822" s="84"/>
      <c r="AQ822" s="84">
        <v>0.05</v>
      </c>
      <c r="AR822" s="84">
        <v>0.05</v>
      </c>
      <c r="AS822" s="84"/>
      <c r="AT822" s="84"/>
      <c r="AU822" s="84"/>
      <c r="AV822" s="84"/>
      <c r="AW822" s="84"/>
      <c r="AX822" s="84"/>
      <c r="AY822" s="84"/>
      <c r="AZ822" s="84"/>
      <c r="BA822" s="84"/>
      <c r="BB822" s="84"/>
      <c r="BC822" s="84"/>
      <c r="BD822" s="84"/>
      <c r="BE822" s="84"/>
      <c r="BF822" s="84"/>
      <c r="BG822" s="84"/>
      <c r="BH822" s="84"/>
      <c r="BI822" s="84"/>
      <c r="BJ822" s="78">
        <f t="shared" si="97"/>
        <v>0</v>
      </c>
      <c r="BK822" s="84"/>
      <c r="BL822" s="44">
        <v>41</v>
      </c>
      <c r="BM822" s="79">
        <f t="shared" si="96"/>
        <v>0</v>
      </c>
      <c r="BN822" s="75"/>
      <c r="BO822" s="75"/>
    </row>
    <row r="823" spans="1:67" s="4" customFormat="1" ht="46.8" x14ac:dyDescent="0.3">
      <c r="A823" s="48">
        <v>108</v>
      </c>
      <c r="B823" s="42" t="s">
        <v>352</v>
      </c>
      <c r="C823" s="48" t="s">
        <v>29</v>
      </c>
      <c r="D823" s="41">
        <f>3.42-1.04</f>
        <v>2.38</v>
      </c>
      <c r="E823" s="41"/>
      <c r="F823" s="41">
        <f>3.42-1.04</f>
        <v>2.38</v>
      </c>
      <c r="G823" s="39">
        <f>0.2+1.29-0.5</f>
        <v>0.99</v>
      </c>
      <c r="H823" s="39"/>
      <c r="I823" s="39"/>
      <c r="J823" s="39">
        <f>1.93-0.54</f>
        <v>1.39</v>
      </c>
      <c r="K823" s="92" t="s">
        <v>111</v>
      </c>
      <c r="L823" s="42" t="s">
        <v>261</v>
      </c>
      <c r="M823" s="48">
        <v>7</v>
      </c>
      <c r="N823" s="206">
        <v>655</v>
      </c>
      <c r="O823" s="50" t="s">
        <v>1200</v>
      </c>
      <c r="P823" s="84"/>
      <c r="Q823" s="84"/>
      <c r="R823" s="84"/>
      <c r="S823" s="84"/>
      <c r="T823" s="84"/>
      <c r="U823" s="84"/>
      <c r="V823" s="84"/>
      <c r="W823" s="84"/>
      <c r="X823" s="84"/>
      <c r="Y823" s="84"/>
      <c r="Z823" s="84"/>
      <c r="AA823" s="84"/>
      <c r="AB823" s="84">
        <v>0.35</v>
      </c>
      <c r="AC823" s="84"/>
      <c r="AD823" s="84"/>
      <c r="AE823" s="84"/>
      <c r="AF823" s="84"/>
      <c r="AG823" s="118"/>
      <c r="AH823" s="84"/>
      <c r="AI823" s="84"/>
      <c r="AJ823" s="84"/>
      <c r="AK823" s="84"/>
      <c r="AL823" s="84"/>
      <c r="AM823" s="84"/>
      <c r="AN823" s="84"/>
      <c r="AO823" s="84"/>
      <c r="AP823" s="84"/>
      <c r="AQ823" s="84">
        <v>1.04</v>
      </c>
      <c r="AR823" s="84"/>
      <c r="AS823" s="84"/>
      <c r="AT823" s="84"/>
      <c r="AU823" s="84"/>
      <c r="AV823" s="84"/>
      <c r="AW823" s="84"/>
      <c r="AX823" s="84"/>
      <c r="AY823" s="84"/>
      <c r="AZ823" s="84"/>
      <c r="BA823" s="84"/>
      <c r="BB823" s="84"/>
      <c r="BC823" s="84"/>
      <c r="BD823" s="84"/>
      <c r="BE823" s="84"/>
      <c r="BF823" s="84"/>
      <c r="BG823" s="84"/>
      <c r="BH823" s="84"/>
      <c r="BI823" s="84"/>
      <c r="BJ823" s="78">
        <f t="shared" si="97"/>
        <v>0</v>
      </c>
      <c r="BK823" s="84"/>
      <c r="BL823" s="44">
        <v>41</v>
      </c>
      <c r="BM823" s="79">
        <f t="shared" si="96"/>
        <v>0</v>
      </c>
      <c r="BN823" s="75"/>
      <c r="BO823" s="75"/>
    </row>
    <row r="824" spans="1:67" s="4" customFormat="1" ht="46.8" x14ac:dyDescent="0.3">
      <c r="A824" s="48">
        <v>109</v>
      </c>
      <c r="B824" s="94" t="s">
        <v>276</v>
      </c>
      <c r="C824" s="96" t="s">
        <v>29</v>
      </c>
      <c r="D824" s="39">
        <v>321.63</v>
      </c>
      <c r="E824" s="39"/>
      <c r="F824" s="39">
        <v>321.63</v>
      </c>
      <c r="G824" s="108">
        <v>200</v>
      </c>
      <c r="H824" s="39"/>
      <c r="I824" s="39"/>
      <c r="J824" s="39">
        <v>121.63</v>
      </c>
      <c r="K824" s="94" t="s">
        <v>261</v>
      </c>
      <c r="L824" s="42" t="s">
        <v>261</v>
      </c>
      <c r="M824" s="48">
        <v>29</v>
      </c>
      <c r="N824" s="206">
        <v>656</v>
      </c>
      <c r="O824" s="48"/>
      <c r="P824" s="84"/>
      <c r="Q824" s="84"/>
      <c r="R824" s="84"/>
      <c r="S824" s="84"/>
      <c r="T824" s="84"/>
      <c r="U824" s="84"/>
      <c r="V824" s="84"/>
      <c r="W824" s="84"/>
      <c r="X824" s="84"/>
      <c r="Y824" s="84"/>
      <c r="Z824" s="84"/>
      <c r="AA824" s="84">
        <v>6</v>
      </c>
      <c r="AB824" s="84">
        <v>12</v>
      </c>
      <c r="AC824" s="84"/>
      <c r="AD824" s="84"/>
      <c r="AE824" s="84">
        <v>20.63</v>
      </c>
      <c r="AF824" s="84"/>
      <c r="AG824" s="84"/>
      <c r="AH824" s="84"/>
      <c r="AI824" s="84"/>
      <c r="AJ824" s="84"/>
      <c r="AK824" s="84"/>
      <c r="AL824" s="84"/>
      <c r="AM824" s="84"/>
      <c r="AN824" s="84"/>
      <c r="AO824" s="84"/>
      <c r="AP824" s="84"/>
      <c r="AQ824" s="84">
        <v>47</v>
      </c>
      <c r="AR824" s="84">
        <v>20</v>
      </c>
      <c r="AS824" s="84"/>
      <c r="AT824" s="84"/>
      <c r="AU824" s="84"/>
      <c r="AV824" s="84"/>
      <c r="AW824" s="84"/>
      <c r="AX824" s="84"/>
      <c r="AY824" s="84"/>
      <c r="AZ824" s="84"/>
      <c r="BA824" s="84">
        <v>1</v>
      </c>
      <c r="BB824" s="84"/>
      <c r="BC824" s="84">
        <v>5</v>
      </c>
      <c r="BD824" s="84"/>
      <c r="BE824" s="84">
        <v>10</v>
      </c>
      <c r="BF824" s="84"/>
      <c r="BG824" s="84"/>
      <c r="BH824" s="84"/>
      <c r="BI824" s="84"/>
      <c r="BJ824" s="78">
        <f t="shared" si="97"/>
        <v>0</v>
      </c>
      <c r="BK824" s="84"/>
      <c r="BL824" s="44">
        <v>41</v>
      </c>
      <c r="BM824" s="79">
        <f t="shared" si="96"/>
        <v>0</v>
      </c>
      <c r="BN824" s="75"/>
      <c r="BO824" s="75"/>
    </row>
    <row r="825" spans="1:67" s="4" customFormat="1" x14ac:dyDescent="0.3">
      <c r="A825" s="48">
        <v>110</v>
      </c>
      <c r="B825" s="50" t="s">
        <v>306</v>
      </c>
      <c r="C825" s="48" t="s">
        <v>29</v>
      </c>
      <c r="D825" s="39">
        <v>4.95</v>
      </c>
      <c r="E825" s="39"/>
      <c r="F825" s="39">
        <v>4.95</v>
      </c>
      <c r="G825" s="39">
        <f>0.18+0.82+3.1</f>
        <v>4.0999999999999996</v>
      </c>
      <c r="H825" s="39"/>
      <c r="I825" s="39"/>
      <c r="J825" s="39">
        <v>0.85</v>
      </c>
      <c r="K825" s="42" t="s">
        <v>1005</v>
      </c>
      <c r="L825" s="42" t="s">
        <v>261</v>
      </c>
      <c r="M825" s="48">
        <v>30</v>
      </c>
      <c r="N825" s="206">
        <v>657</v>
      </c>
      <c r="O825" s="48"/>
      <c r="P825" s="84"/>
      <c r="Q825" s="84"/>
      <c r="R825" s="84"/>
      <c r="S825" s="84"/>
      <c r="T825" s="84"/>
      <c r="U825" s="84"/>
      <c r="V825" s="84"/>
      <c r="W825" s="84"/>
      <c r="X825" s="84"/>
      <c r="Y825" s="84"/>
      <c r="Z825" s="84"/>
      <c r="AA825" s="84"/>
      <c r="AB825" s="84"/>
      <c r="AC825" s="84"/>
      <c r="AD825" s="84"/>
      <c r="AE825" s="84"/>
      <c r="AF825" s="84"/>
      <c r="AG825" s="84"/>
      <c r="AH825" s="84"/>
      <c r="AI825" s="84"/>
      <c r="AJ825" s="84"/>
      <c r="AK825" s="84"/>
      <c r="AL825" s="84"/>
      <c r="AM825" s="84"/>
      <c r="AN825" s="84"/>
      <c r="AO825" s="84">
        <v>0.22</v>
      </c>
      <c r="AP825" s="84"/>
      <c r="AQ825" s="84">
        <v>0.63</v>
      </c>
      <c r="AR825" s="84"/>
      <c r="AS825" s="84"/>
      <c r="AT825" s="84"/>
      <c r="AU825" s="84"/>
      <c r="AV825" s="84"/>
      <c r="AW825" s="84"/>
      <c r="AX825" s="84"/>
      <c r="AY825" s="84"/>
      <c r="AZ825" s="84"/>
      <c r="BA825" s="84"/>
      <c r="BB825" s="84"/>
      <c r="BC825" s="84"/>
      <c r="BD825" s="84"/>
      <c r="BE825" s="84"/>
      <c r="BF825" s="84"/>
      <c r="BG825" s="84"/>
      <c r="BH825" s="84"/>
      <c r="BI825" s="84"/>
      <c r="BJ825" s="78">
        <f t="shared" si="97"/>
        <v>0</v>
      </c>
      <c r="BK825" s="84"/>
      <c r="BL825" s="44">
        <v>41</v>
      </c>
      <c r="BM825" s="79">
        <f t="shared" si="96"/>
        <v>0</v>
      </c>
      <c r="BN825" s="75"/>
      <c r="BO825" s="75"/>
    </row>
    <row r="826" spans="1:67" s="4" customFormat="1" ht="69.75" customHeight="1" x14ac:dyDescent="0.3">
      <c r="A826" s="48">
        <v>111</v>
      </c>
      <c r="B826" s="50" t="s">
        <v>306</v>
      </c>
      <c r="C826" s="48" t="s">
        <v>29</v>
      </c>
      <c r="D826" s="39">
        <v>0.73</v>
      </c>
      <c r="E826" s="39"/>
      <c r="F826" s="39">
        <v>0.73</v>
      </c>
      <c r="G826" s="39"/>
      <c r="H826" s="39"/>
      <c r="I826" s="39"/>
      <c r="J826" s="39">
        <v>0.73</v>
      </c>
      <c r="K826" s="42" t="s">
        <v>1004</v>
      </c>
      <c r="L826" s="42" t="s">
        <v>280</v>
      </c>
      <c r="M826" s="48">
        <v>8</v>
      </c>
      <c r="N826" s="206">
        <v>658</v>
      </c>
      <c r="O826" s="120" t="s">
        <v>1201</v>
      </c>
      <c r="P826" s="84"/>
      <c r="Q826" s="84"/>
      <c r="R826" s="84"/>
      <c r="S826" s="84"/>
      <c r="T826" s="84"/>
      <c r="U826" s="84"/>
      <c r="V826" s="84"/>
      <c r="W826" s="84"/>
      <c r="X826" s="84">
        <v>0.73</v>
      </c>
      <c r="Y826" s="84"/>
      <c r="Z826" s="84"/>
      <c r="AA826" s="84"/>
      <c r="AB826" s="84"/>
      <c r="AC826" s="84"/>
      <c r="AD826" s="84"/>
      <c r="AE826" s="84"/>
      <c r="AF826" s="84"/>
      <c r="AG826" s="84"/>
      <c r="AH826" s="84"/>
      <c r="AI826" s="84"/>
      <c r="AJ826" s="84"/>
      <c r="AK826" s="84"/>
      <c r="AL826" s="84"/>
      <c r="AM826" s="84"/>
      <c r="AN826" s="84"/>
      <c r="AO826" s="118"/>
      <c r="AP826" s="84"/>
      <c r="AQ826" s="84"/>
      <c r="AR826" s="84"/>
      <c r="AS826" s="84"/>
      <c r="AT826" s="84"/>
      <c r="AU826" s="84"/>
      <c r="AV826" s="84"/>
      <c r="AW826" s="84"/>
      <c r="AX826" s="84"/>
      <c r="AY826" s="84"/>
      <c r="AZ826" s="84"/>
      <c r="BA826" s="84"/>
      <c r="BB826" s="84"/>
      <c r="BC826" s="84"/>
      <c r="BD826" s="84"/>
      <c r="BE826" s="118"/>
      <c r="BF826" s="84"/>
      <c r="BG826" s="84"/>
      <c r="BH826" s="84"/>
      <c r="BI826" s="84"/>
      <c r="BJ826" s="78">
        <f t="shared" si="97"/>
        <v>0</v>
      </c>
      <c r="BK826" s="84"/>
      <c r="BL826" s="44">
        <v>41</v>
      </c>
      <c r="BM826" s="79">
        <f t="shared" ref="BM826:BM889" si="98">J826-SUM(V826:BH826)</f>
        <v>0</v>
      </c>
      <c r="BN826" s="75"/>
      <c r="BO826" s="75"/>
    </row>
    <row r="827" spans="1:67" s="4" customFormat="1" x14ac:dyDescent="0.3">
      <c r="A827" s="48">
        <v>112</v>
      </c>
      <c r="B827" s="50" t="s">
        <v>306</v>
      </c>
      <c r="C827" s="48" t="s">
        <v>29</v>
      </c>
      <c r="D827" s="39">
        <v>5.18</v>
      </c>
      <c r="E827" s="39"/>
      <c r="F827" s="39">
        <v>5.18</v>
      </c>
      <c r="G827" s="39"/>
      <c r="H827" s="39"/>
      <c r="I827" s="39"/>
      <c r="J827" s="39">
        <v>5.18</v>
      </c>
      <c r="K827" s="42" t="s">
        <v>1003</v>
      </c>
      <c r="L827" s="42" t="s">
        <v>280</v>
      </c>
      <c r="M827" s="48">
        <v>9</v>
      </c>
      <c r="N827" s="206">
        <v>659</v>
      </c>
      <c r="O827" s="48"/>
      <c r="P827" s="84"/>
      <c r="Q827" s="84"/>
      <c r="R827" s="84"/>
      <c r="S827" s="84"/>
      <c r="T827" s="84"/>
      <c r="U827" s="84"/>
      <c r="V827" s="84"/>
      <c r="W827" s="84"/>
      <c r="X827" s="84">
        <v>2.65</v>
      </c>
      <c r="Y827" s="84"/>
      <c r="Z827" s="84"/>
      <c r="AA827" s="84"/>
      <c r="AB827" s="118"/>
      <c r="AC827" s="84"/>
      <c r="AD827" s="84"/>
      <c r="AE827" s="84"/>
      <c r="AF827" s="84"/>
      <c r="AG827" s="84"/>
      <c r="AH827" s="84"/>
      <c r="AI827" s="84"/>
      <c r="AJ827" s="84"/>
      <c r="AK827" s="84"/>
      <c r="AL827" s="84"/>
      <c r="AM827" s="84"/>
      <c r="AN827" s="84"/>
      <c r="AO827" s="84"/>
      <c r="AP827" s="84"/>
      <c r="AQ827" s="84"/>
      <c r="AR827" s="84"/>
      <c r="AS827" s="84"/>
      <c r="AT827" s="84"/>
      <c r="AU827" s="84"/>
      <c r="AV827" s="84"/>
      <c r="AW827" s="84">
        <v>0.06</v>
      </c>
      <c r="AX827" s="84"/>
      <c r="AY827" s="84"/>
      <c r="AZ827" s="84"/>
      <c r="BA827" s="84"/>
      <c r="BB827" s="84"/>
      <c r="BC827" s="84"/>
      <c r="BD827" s="84"/>
      <c r="BE827" s="84">
        <v>2.4700000000000002</v>
      </c>
      <c r="BF827" s="84"/>
      <c r="BG827" s="84"/>
      <c r="BH827" s="84"/>
      <c r="BI827" s="84"/>
      <c r="BJ827" s="78">
        <f t="shared" si="97"/>
        <v>0</v>
      </c>
      <c r="BK827" s="84"/>
      <c r="BL827" s="44">
        <v>41</v>
      </c>
      <c r="BM827" s="79">
        <f t="shared" si="98"/>
        <v>0</v>
      </c>
      <c r="BN827" s="75"/>
      <c r="BO827" s="75"/>
    </row>
    <row r="828" spans="1:67" s="4" customFormat="1" x14ac:dyDescent="0.3">
      <c r="A828" s="48">
        <v>113</v>
      </c>
      <c r="B828" s="50" t="s">
        <v>306</v>
      </c>
      <c r="C828" s="48" t="s">
        <v>29</v>
      </c>
      <c r="D828" s="39">
        <v>6.6</v>
      </c>
      <c r="E828" s="39"/>
      <c r="F828" s="39">
        <v>6.6</v>
      </c>
      <c r="G828" s="39">
        <f>6.04-0.66</f>
        <v>5.38</v>
      </c>
      <c r="H828" s="39"/>
      <c r="I828" s="39"/>
      <c r="J828" s="39">
        <v>1.22</v>
      </c>
      <c r="K828" s="42" t="s">
        <v>1002</v>
      </c>
      <c r="L828" s="42" t="s">
        <v>280</v>
      </c>
      <c r="M828" s="48">
        <v>10</v>
      </c>
      <c r="N828" s="206">
        <v>660</v>
      </c>
      <c r="O828" s="48"/>
      <c r="P828" s="84"/>
      <c r="Q828" s="84"/>
      <c r="R828" s="84"/>
      <c r="S828" s="84"/>
      <c r="T828" s="84"/>
      <c r="U828" s="84"/>
      <c r="V828" s="118"/>
      <c r="W828" s="84"/>
      <c r="X828" s="84">
        <v>0.18</v>
      </c>
      <c r="Y828" s="84"/>
      <c r="Z828" s="84">
        <v>0.48</v>
      </c>
      <c r="AA828" s="84">
        <v>0.56000000000000005</v>
      </c>
      <c r="AB828" s="84"/>
      <c r="AC828" s="84"/>
      <c r="AD828" s="84"/>
      <c r="AE828" s="84"/>
      <c r="AF828" s="84"/>
      <c r="AG828" s="84"/>
      <c r="AH828" s="84"/>
      <c r="AI828" s="84"/>
      <c r="AJ828" s="84"/>
      <c r="AK828" s="84"/>
      <c r="AL828" s="84"/>
      <c r="AM828" s="84"/>
      <c r="AN828" s="84"/>
      <c r="AO828" s="84"/>
      <c r="AP828" s="84"/>
      <c r="AQ828" s="84"/>
      <c r="AR828" s="84"/>
      <c r="AS828" s="84"/>
      <c r="AT828" s="84"/>
      <c r="AU828" s="84"/>
      <c r="AV828" s="84"/>
      <c r="AW828" s="84"/>
      <c r="AX828" s="84"/>
      <c r="AY828" s="84"/>
      <c r="AZ828" s="84"/>
      <c r="BA828" s="84"/>
      <c r="BB828" s="84"/>
      <c r="BC828" s="84"/>
      <c r="BD828" s="84"/>
      <c r="BE828" s="84"/>
      <c r="BF828" s="84"/>
      <c r="BG828" s="84"/>
      <c r="BH828" s="84"/>
      <c r="BI828" s="84"/>
      <c r="BJ828" s="78">
        <f t="shared" si="97"/>
        <v>0</v>
      </c>
      <c r="BK828" s="84"/>
      <c r="BL828" s="44">
        <v>41</v>
      </c>
      <c r="BM828" s="79">
        <f t="shared" si="98"/>
        <v>0</v>
      </c>
      <c r="BN828" s="75"/>
      <c r="BO828" s="75"/>
    </row>
    <row r="829" spans="1:67" s="4" customFormat="1" x14ac:dyDescent="0.3">
      <c r="A829" s="48">
        <v>114</v>
      </c>
      <c r="B829" s="50" t="s">
        <v>306</v>
      </c>
      <c r="C829" s="48" t="s">
        <v>29</v>
      </c>
      <c r="D829" s="39">
        <v>5.01</v>
      </c>
      <c r="E829" s="39"/>
      <c r="F829" s="39">
        <v>5.01</v>
      </c>
      <c r="G829" s="39">
        <v>3.52</v>
      </c>
      <c r="H829" s="39"/>
      <c r="I829" s="39"/>
      <c r="J829" s="39">
        <v>1.49</v>
      </c>
      <c r="K829" s="42" t="s">
        <v>1001</v>
      </c>
      <c r="L829" s="42" t="s">
        <v>280</v>
      </c>
      <c r="M829" s="48">
        <v>11</v>
      </c>
      <c r="N829" s="206">
        <v>661</v>
      </c>
      <c r="O829" s="48"/>
      <c r="P829" s="84"/>
      <c r="Q829" s="84"/>
      <c r="R829" s="84"/>
      <c r="S829" s="84"/>
      <c r="T829" s="84"/>
      <c r="U829" s="84"/>
      <c r="V829" s="84"/>
      <c r="W829" s="84"/>
      <c r="X829" s="84"/>
      <c r="Y829" s="84"/>
      <c r="Z829" s="118">
        <v>1.45</v>
      </c>
      <c r="AA829" s="84"/>
      <c r="AB829" s="84"/>
      <c r="AC829" s="84"/>
      <c r="AD829" s="84"/>
      <c r="AE829" s="84"/>
      <c r="AF829" s="84"/>
      <c r="AG829" s="84"/>
      <c r="AH829" s="84"/>
      <c r="AI829" s="84"/>
      <c r="AJ829" s="84"/>
      <c r="AK829" s="84"/>
      <c r="AL829" s="84"/>
      <c r="AM829" s="118"/>
      <c r="AN829" s="84"/>
      <c r="AO829" s="84">
        <v>0.04</v>
      </c>
      <c r="AP829" s="84"/>
      <c r="AQ829" s="84"/>
      <c r="AR829" s="84"/>
      <c r="AS829" s="84"/>
      <c r="AT829" s="84"/>
      <c r="AU829" s="84"/>
      <c r="AV829" s="84"/>
      <c r="AW829" s="84"/>
      <c r="AX829" s="84"/>
      <c r="AY829" s="84"/>
      <c r="AZ829" s="84"/>
      <c r="BA829" s="84"/>
      <c r="BB829" s="84"/>
      <c r="BC829" s="84"/>
      <c r="BD829" s="84"/>
      <c r="BE829" s="84"/>
      <c r="BF829" s="84"/>
      <c r="BG829" s="84"/>
      <c r="BH829" s="84"/>
      <c r="BI829" s="84"/>
      <c r="BJ829" s="78">
        <f t="shared" si="97"/>
        <v>0</v>
      </c>
      <c r="BK829" s="84"/>
      <c r="BL829" s="44">
        <v>41</v>
      </c>
      <c r="BM829" s="79">
        <f t="shared" si="98"/>
        <v>0</v>
      </c>
      <c r="BN829" s="75"/>
      <c r="BO829" s="75"/>
    </row>
    <row r="830" spans="1:67" s="4" customFormat="1" x14ac:dyDescent="0.3">
      <c r="A830" s="48">
        <v>115</v>
      </c>
      <c r="B830" s="50" t="s">
        <v>306</v>
      </c>
      <c r="C830" s="48" t="s">
        <v>29</v>
      </c>
      <c r="D830" s="39">
        <v>12.16</v>
      </c>
      <c r="E830" s="39"/>
      <c r="F830" s="39">
        <v>12.16</v>
      </c>
      <c r="G830" s="39">
        <f>9.5-0.31+1.98-0.74-0.88+2.44</f>
        <v>11.989999999999998</v>
      </c>
      <c r="H830" s="39"/>
      <c r="I830" s="39"/>
      <c r="J830" s="39">
        <v>0.17</v>
      </c>
      <c r="K830" s="42" t="s">
        <v>968</v>
      </c>
      <c r="L830" s="42" t="s">
        <v>280</v>
      </c>
      <c r="M830" s="48">
        <v>12</v>
      </c>
      <c r="N830" s="206">
        <v>662</v>
      </c>
      <c r="O830" s="48"/>
      <c r="P830" s="84"/>
      <c r="Q830" s="84"/>
      <c r="R830" s="84"/>
      <c r="S830" s="84"/>
      <c r="T830" s="84"/>
      <c r="U830" s="84"/>
      <c r="V830" s="84"/>
      <c r="W830" s="84"/>
      <c r="X830" s="84"/>
      <c r="Y830" s="84"/>
      <c r="Z830" s="84"/>
      <c r="AA830" s="84"/>
      <c r="AB830" s="84"/>
      <c r="AC830" s="84"/>
      <c r="AD830" s="84"/>
      <c r="AE830" s="84"/>
      <c r="AF830" s="84"/>
      <c r="AG830" s="84"/>
      <c r="AH830" s="84"/>
      <c r="AI830" s="84"/>
      <c r="AJ830" s="84"/>
      <c r="AK830" s="84"/>
      <c r="AL830" s="84"/>
      <c r="AM830" s="84"/>
      <c r="AN830" s="84"/>
      <c r="AO830" s="84"/>
      <c r="AP830" s="84"/>
      <c r="AQ830" s="84"/>
      <c r="AR830" s="84"/>
      <c r="AS830" s="84"/>
      <c r="AT830" s="84"/>
      <c r="AU830" s="84"/>
      <c r="AV830" s="84"/>
      <c r="AW830" s="84">
        <v>0.17</v>
      </c>
      <c r="AX830" s="84"/>
      <c r="AY830" s="84"/>
      <c r="AZ830" s="84"/>
      <c r="BA830" s="84"/>
      <c r="BB830" s="84"/>
      <c r="BC830" s="84"/>
      <c r="BD830" s="84"/>
      <c r="BE830" s="118"/>
      <c r="BF830" s="84"/>
      <c r="BG830" s="84"/>
      <c r="BH830" s="84"/>
      <c r="BI830" s="84"/>
      <c r="BJ830" s="78">
        <f t="shared" si="97"/>
        <v>0</v>
      </c>
      <c r="BK830" s="84"/>
      <c r="BL830" s="44">
        <v>41</v>
      </c>
      <c r="BM830" s="79">
        <f t="shared" si="98"/>
        <v>0</v>
      </c>
      <c r="BN830" s="75"/>
      <c r="BO830" s="75"/>
    </row>
    <row r="831" spans="1:67" s="4" customFormat="1" x14ac:dyDescent="0.3">
      <c r="A831" s="48">
        <v>116</v>
      </c>
      <c r="B831" s="50" t="s">
        <v>306</v>
      </c>
      <c r="C831" s="48" t="s">
        <v>29</v>
      </c>
      <c r="D831" s="39">
        <v>3.09</v>
      </c>
      <c r="E831" s="39"/>
      <c r="F831" s="39">
        <v>3.09</v>
      </c>
      <c r="G831" s="39">
        <f>3.19-0.39</f>
        <v>2.8</v>
      </c>
      <c r="H831" s="39"/>
      <c r="I831" s="39"/>
      <c r="J831" s="39">
        <v>0.28999999999999998</v>
      </c>
      <c r="K831" s="42" t="s">
        <v>950</v>
      </c>
      <c r="L831" s="42" t="s">
        <v>280</v>
      </c>
      <c r="M831" s="48">
        <v>13</v>
      </c>
      <c r="N831" s="206">
        <v>663</v>
      </c>
      <c r="O831" s="48"/>
      <c r="P831" s="84"/>
      <c r="Q831" s="84"/>
      <c r="R831" s="84"/>
      <c r="S831" s="84"/>
      <c r="T831" s="84"/>
      <c r="U831" s="84"/>
      <c r="V831" s="84"/>
      <c r="W831" s="84"/>
      <c r="X831" s="84"/>
      <c r="Y831" s="84"/>
      <c r="Z831" s="84">
        <f>0.67-0.38</f>
        <v>0.29000000000000004</v>
      </c>
      <c r="AA831" s="84"/>
      <c r="AB831" s="84"/>
      <c r="AC831" s="84"/>
      <c r="AD831" s="84"/>
      <c r="AE831" s="84"/>
      <c r="AF831" s="84"/>
      <c r="AG831" s="84"/>
      <c r="AH831" s="84"/>
      <c r="AI831" s="84"/>
      <c r="AJ831" s="84"/>
      <c r="AK831" s="84"/>
      <c r="AL831" s="84"/>
      <c r="AM831" s="84"/>
      <c r="AN831" s="84"/>
      <c r="AO831" s="84"/>
      <c r="AP831" s="84"/>
      <c r="AQ831" s="84"/>
      <c r="AR831" s="84"/>
      <c r="AS831" s="84"/>
      <c r="AT831" s="84"/>
      <c r="AU831" s="84"/>
      <c r="AV831" s="84"/>
      <c r="AW831" s="84"/>
      <c r="AX831" s="84"/>
      <c r="AY831" s="84"/>
      <c r="AZ831" s="84"/>
      <c r="BA831" s="84"/>
      <c r="BB831" s="84"/>
      <c r="BC831" s="84"/>
      <c r="BD831" s="84"/>
      <c r="BE831" s="84"/>
      <c r="BF831" s="84"/>
      <c r="BG831" s="84"/>
      <c r="BH831" s="84"/>
      <c r="BI831" s="84"/>
      <c r="BJ831" s="78">
        <f t="shared" si="97"/>
        <v>0</v>
      </c>
      <c r="BK831" s="84"/>
      <c r="BL831" s="44">
        <v>41</v>
      </c>
      <c r="BM831" s="79">
        <f t="shared" si="98"/>
        <v>0</v>
      </c>
      <c r="BN831" s="75"/>
      <c r="BO831" s="75"/>
    </row>
    <row r="832" spans="1:67" s="4" customFormat="1" x14ac:dyDescent="0.3">
      <c r="A832" s="48">
        <v>117</v>
      </c>
      <c r="B832" s="50" t="s">
        <v>306</v>
      </c>
      <c r="C832" s="48" t="s">
        <v>29</v>
      </c>
      <c r="D832" s="39">
        <v>2.33</v>
      </c>
      <c r="E832" s="39"/>
      <c r="F832" s="39">
        <v>2.33</v>
      </c>
      <c r="G832" s="39"/>
      <c r="H832" s="39"/>
      <c r="I832" s="39"/>
      <c r="J832" s="39">
        <v>2.33</v>
      </c>
      <c r="K832" s="42" t="s">
        <v>949</v>
      </c>
      <c r="L832" s="42" t="s">
        <v>280</v>
      </c>
      <c r="M832" s="48">
        <v>14</v>
      </c>
      <c r="N832" s="206">
        <v>664</v>
      </c>
      <c r="O832" s="48"/>
      <c r="P832" s="84"/>
      <c r="Q832" s="84"/>
      <c r="R832" s="84"/>
      <c r="S832" s="84"/>
      <c r="T832" s="84"/>
      <c r="U832" s="84"/>
      <c r="V832" s="84"/>
      <c r="W832" s="84"/>
      <c r="X832" s="84"/>
      <c r="Y832" s="84"/>
      <c r="Z832" s="84">
        <f>1.92+0.41</f>
        <v>2.33</v>
      </c>
      <c r="AA832" s="84"/>
      <c r="AB832" s="84"/>
      <c r="AC832" s="84"/>
      <c r="AD832" s="84"/>
      <c r="AE832" s="84"/>
      <c r="AF832" s="84"/>
      <c r="AG832" s="84"/>
      <c r="AH832" s="84"/>
      <c r="AI832" s="84"/>
      <c r="AJ832" s="84"/>
      <c r="AK832" s="84"/>
      <c r="AL832" s="84"/>
      <c r="AM832" s="84"/>
      <c r="AN832" s="84"/>
      <c r="AO832" s="84"/>
      <c r="AP832" s="84"/>
      <c r="AQ832" s="84"/>
      <c r="AR832" s="84"/>
      <c r="AS832" s="84"/>
      <c r="AT832" s="84"/>
      <c r="AU832" s="84"/>
      <c r="AV832" s="84"/>
      <c r="AW832" s="84"/>
      <c r="AX832" s="84"/>
      <c r="AY832" s="84"/>
      <c r="AZ832" s="84"/>
      <c r="BA832" s="84"/>
      <c r="BB832" s="84"/>
      <c r="BC832" s="84"/>
      <c r="BD832" s="84"/>
      <c r="BE832" s="118"/>
      <c r="BF832" s="84"/>
      <c r="BG832" s="84"/>
      <c r="BH832" s="84"/>
      <c r="BI832" s="84"/>
      <c r="BJ832" s="78">
        <f t="shared" si="97"/>
        <v>0</v>
      </c>
      <c r="BK832" s="84"/>
      <c r="BL832" s="44">
        <v>41</v>
      </c>
      <c r="BM832" s="79">
        <f t="shared" si="98"/>
        <v>0</v>
      </c>
      <c r="BN832" s="75"/>
      <c r="BO832" s="75"/>
    </row>
    <row r="833" spans="1:67" s="4" customFormat="1" ht="31.2" x14ac:dyDescent="0.3">
      <c r="A833" s="48">
        <v>118</v>
      </c>
      <c r="B833" s="42" t="s">
        <v>352</v>
      </c>
      <c r="C833" s="48" t="s">
        <v>29</v>
      </c>
      <c r="D833" s="41">
        <v>1</v>
      </c>
      <c r="E833" s="39"/>
      <c r="F833" s="41">
        <v>1</v>
      </c>
      <c r="G833" s="41"/>
      <c r="H833" s="41"/>
      <c r="I833" s="39"/>
      <c r="J833" s="107">
        <v>1</v>
      </c>
      <c r="K833" s="42" t="s">
        <v>711</v>
      </c>
      <c r="L833" s="42" t="s">
        <v>280</v>
      </c>
      <c r="M833" s="48" t="s">
        <v>672</v>
      </c>
      <c r="N833" s="206">
        <v>665</v>
      </c>
      <c r="O833" s="48"/>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833" s="84"/>
      <c r="AN833" s="84"/>
      <c r="AO833" s="84"/>
      <c r="AP833" s="84"/>
      <c r="AQ833" s="84"/>
      <c r="AR833" s="84"/>
      <c r="AS833" s="84"/>
      <c r="AT833" s="84"/>
      <c r="AU833" s="84"/>
      <c r="AV833" s="84"/>
      <c r="AW833" s="84"/>
      <c r="AX833" s="84"/>
      <c r="AY833" s="84"/>
      <c r="AZ833" s="84"/>
      <c r="BA833" s="84"/>
      <c r="BB833" s="84"/>
      <c r="BC833" s="84"/>
      <c r="BD833" s="84"/>
      <c r="BE833" s="118">
        <v>1</v>
      </c>
      <c r="BF833" s="84"/>
      <c r="BG833" s="84"/>
      <c r="BH833" s="84"/>
      <c r="BI833" s="84"/>
      <c r="BJ833" s="78">
        <f t="shared" si="97"/>
        <v>0</v>
      </c>
      <c r="BK833" s="84"/>
      <c r="BL833" s="44">
        <v>41</v>
      </c>
      <c r="BM833" s="79">
        <f t="shared" si="98"/>
        <v>0</v>
      </c>
      <c r="BN833" s="75"/>
      <c r="BO833" s="75"/>
    </row>
    <row r="834" spans="1:67" s="4" customFormat="1" x14ac:dyDescent="0.3">
      <c r="A834" s="48">
        <v>119</v>
      </c>
      <c r="B834" s="50" t="s">
        <v>306</v>
      </c>
      <c r="C834" s="48" t="s">
        <v>29</v>
      </c>
      <c r="D834" s="41">
        <v>7.05</v>
      </c>
      <c r="E834" s="41"/>
      <c r="F834" s="41">
        <v>7.05</v>
      </c>
      <c r="G834" s="39">
        <v>5.38</v>
      </c>
      <c r="H834" s="39"/>
      <c r="I834" s="39"/>
      <c r="J834" s="39">
        <v>1.67</v>
      </c>
      <c r="K834" s="42" t="s">
        <v>370</v>
      </c>
      <c r="L834" s="42" t="s">
        <v>285</v>
      </c>
      <c r="M834" s="48">
        <v>1</v>
      </c>
      <c r="N834" s="206">
        <v>666</v>
      </c>
      <c r="O834" s="48"/>
      <c r="P834" s="84"/>
      <c r="Q834" s="84"/>
      <c r="R834" s="84"/>
      <c r="S834" s="84"/>
      <c r="T834" s="84"/>
      <c r="U834" s="84"/>
      <c r="V834" s="84"/>
      <c r="W834" s="84"/>
      <c r="X834" s="84">
        <v>1.67</v>
      </c>
      <c r="Y834" s="84"/>
      <c r="Z834" s="84"/>
      <c r="AA834" s="84"/>
      <c r="AB834" s="84"/>
      <c r="AC834" s="84"/>
      <c r="AD834" s="84"/>
      <c r="AE834" s="84"/>
      <c r="AF834" s="84"/>
      <c r="AG834" s="118"/>
      <c r="AH834" s="84"/>
      <c r="AI834" s="84"/>
      <c r="AJ834" s="84"/>
      <c r="AK834" s="84"/>
      <c r="AL834" s="84"/>
      <c r="AM834" s="84"/>
      <c r="AN834" s="84"/>
      <c r="AO834" s="84"/>
      <c r="AP834" s="84"/>
      <c r="AQ834" s="84"/>
      <c r="AR834" s="84"/>
      <c r="AS834" s="84"/>
      <c r="AT834" s="84"/>
      <c r="AU834" s="84"/>
      <c r="AV834" s="84"/>
      <c r="AW834" s="84"/>
      <c r="AX834" s="84"/>
      <c r="AY834" s="84"/>
      <c r="AZ834" s="84"/>
      <c r="BA834" s="84"/>
      <c r="BB834" s="84"/>
      <c r="BC834" s="84"/>
      <c r="BD834" s="84"/>
      <c r="BE834" s="84"/>
      <c r="BF834" s="84"/>
      <c r="BG834" s="84"/>
      <c r="BH834" s="84"/>
      <c r="BI834" s="84"/>
      <c r="BJ834" s="78">
        <f t="shared" si="97"/>
        <v>0</v>
      </c>
      <c r="BK834" s="84"/>
      <c r="BL834" s="44">
        <v>41</v>
      </c>
      <c r="BM834" s="79">
        <f t="shared" si="98"/>
        <v>0</v>
      </c>
      <c r="BN834" s="75"/>
      <c r="BO834" s="75"/>
    </row>
    <row r="835" spans="1:67" s="4" customFormat="1" ht="31.2" x14ac:dyDescent="0.3">
      <c r="A835" s="48">
        <v>120</v>
      </c>
      <c r="B835" s="50" t="s">
        <v>306</v>
      </c>
      <c r="C835" s="48" t="s">
        <v>29</v>
      </c>
      <c r="D835" s="39">
        <f>0.35+0.38+3+2.29+1.68+0.22+0.32+0.64+0.38+2.17+3.28</f>
        <v>14.709999999999999</v>
      </c>
      <c r="E835" s="41"/>
      <c r="F835" s="39">
        <f>0.35+0.38+3+2.29+1.68+0.22+0.32+0.64+0.38+2.17+3.28</f>
        <v>14.709999999999999</v>
      </c>
      <c r="G835" s="39">
        <f>0.35+0.38+3+2.29+1.68+0.22+0.32+0.64+0.38+2.17+3.28</f>
        <v>14.709999999999999</v>
      </c>
      <c r="H835" s="39"/>
      <c r="I835" s="39"/>
      <c r="J835" s="39"/>
      <c r="K835" s="42" t="s">
        <v>969</v>
      </c>
      <c r="L835" s="42" t="s">
        <v>285</v>
      </c>
      <c r="M835" s="48">
        <v>2</v>
      </c>
      <c r="N835" s="206">
        <v>667</v>
      </c>
      <c r="O835" s="48"/>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835" s="84"/>
      <c r="AN835" s="84"/>
      <c r="AO835" s="118"/>
      <c r="AP835" s="84"/>
      <c r="AQ835" s="84"/>
      <c r="AR835" s="84"/>
      <c r="AS835" s="84"/>
      <c r="AT835" s="84"/>
      <c r="AU835" s="84"/>
      <c r="AV835" s="84"/>
      <c r="AW835" s="84"/>
      <c r="AX835" s="84"/>
      <c r="AY835" s="84"/>
      <c r="AZ835" s="84"/>
      <c r="BA835" s="84"/>
      <c r="BB835" s="84"/>
      <c r="BC835" s="84"/>
      <c r="BD835" s="84"/>
      <c r="BE835" s="84"/>
      <c r="BF835" s="84"/>
      <c r="BG835" s="84"/>
      <c r="BH835" s="84"/>
      <c r="BI835" s="84"/>
      <c r="BJ835" s="78">
        <f t="shared" si="97"/>
        <v>0</v>
      </c>
      <c r="BK835" s="84"/>
      <c r="BL835" s="44">
        <v>41</v>
      </c>
      <c r="BM835" s="79">
        <f t="shared" si="98"/>
        <v>0</v>
      </c>
      <c r="BN835" s="75"/>
      <c r="BO835" s="75"/>
    </row>
    <row r="836" spans="1:67" s="4" customFormat="1" ht="31.2" x14ac:dyDescent="0.3">
      <c r="A836" s="48">
        <v>121</v>
      </c>
      <c r="B836" s="50" t="s">
        <v>306</v>
      </c>
      <c r="C836" s="48" t="s">
        <v>29</v>
      </c>
      <c r="D836" s="39">
        <v>2.81</v>
      </c>
      <c r="E836" s="39"/>
      <c r="F836" s="39">
        <v>2.81</v>
      </c>
      <c r="G836" s="39">
        <f>0.66+0.2</f>
        <v>0.8600000000000001</v>
      </c>
      <c r="H836" s="39"/>
      <c r="I836" s="39"/>
      <c r="J836" s="39">
        <v>1.95</v>
      </c>
      <c r="K836" s="42" t="s">
        <v>970</v>
      </c>
      <c r="L836" s="42" t="s">
        <v>285</v>
      </c>
      <c r="M836" s="48">
        <v>4</v>
      </c>
      <c r="N836" s="206">
        <v>668</v>
      </c>
      <c r="O836" s="48"/>
      <c r="P836" s="84"/>
      <c r="Q836" s="84"/>
      <c r="R836" s="84"/>
      <c r="S836" s="84"/>
      <c r="T836" s="84"/>
      <c r="U836" s="84"/>
      <c r="V836" s="84"/>
      <c r="W836" s="84"/>
      <c r="X836" s="84"/>
      <c r="Y836" s="84"/>
      <c r="Z836" s="84">
        <f>0.15+0.18</f>
        <v>0.32999999999999996</v>
      </c>
      <c r="AA836" s="84"/>
      <c r="AB836" s="84"/>
      <c r="AC836" s="84"/>
      <c r="AD836" s="84"/>
      <c r="AE836" s="84"/>
      <c r="AF836" s="84"/>
      <c r="AG836" s="84"/>
      <c r="AH836" s="84"/>
      <c r="AI836" s="84"/>
      <c r="AJ836" s="84"/>
      <c r="AK836" s="84"/>
      <c r="AL836" s="84"/>
      <c r="AM836" s="84"/>
      <c r="AN836" s="84"/>
      <c r="AO836" s="84">
        <f>0.63+0.57</f>
        <v>1.2</v>
      </c>
      <c r="AP836" s="84"/>
      <c r="AQ836" s="84"/>
      <c r="AR836" s="84"/>
      <c r="AS836" s="84"/>
      <c r="AT836" s="84"/>
      <c r="AU836" s="84"/>
      <c r="AV836" s="84"/>
      <c r="AW836" s="84"/>
      <c r="AX836" s="84"/>
      <c r="AY836" s="84"/>
      <c r="AZ836" s="84"/>
      <c r="BA836" s="84"/>
      <c r="BB836" s="84"/>
      <c r="BC836" s="84"/>
      <c r="BD836" s="84">
        <v>0.42</v>
      </c>
      <c r="BE836" s="84"/>
      <c r="BF836" s="84"/>
      <c r="BG836" s="84"/>
      <c r="BH836" s="84"/>
      <c r="BI836" s="84"/>
      <c r="BJ836" s="78">
        <f t="shared" si="97"/>
        <v>0</v>
      </c>
      <c r="BK836" s="84"/>
      <c r="BL836" s="44">
        <v>41</v>
      </c>
      <c r="BM836" s="79">
        <f t="shared" si="98"/>
        <v>0</v>
      </c>
      <c r="BN836" s="75"/>
      <c r="BO836" s="75"/>
    </row>
    <row r="837" spans="1:67" s="4" customFormat="1" x14ac:dyDescent="0.3">
      <c r="A837" s="48">
        <v>122</v>
      </c>
      <c r="B837" s="50" t="s">
        <v>306</v>
      </c>
      <c r="C837" s="48" t="s">
        <v>29</v>
      </c>
      <c r="D837" s="39">
        <v>0.5</v>
      </c>
      <c r="E837" s="39"/>
      <c r="F837" s="39">
        <v>0.5</v>
      </c>
      <c r="G837" s="39"/>
      <c r="H837" s="39"/>
      <c r="I837" s="39"/>
      <c r="J837" s="39">
        <v>0.5</v>
      </c>
      <c r="K837" s="42" t="s">
        <v>1000</v>
      </c>
      <c r="L837" s="42" t="s">
        <v>285</v>
      </c>
      <c r="M837" s="48">
        <v>6</v>
      </c>
      <c r="N837" s="206">
        <v>669</v>
      </c>
      <c r="O837" s="48"/>
      <c r="P837" s="84"/>
      <c r="Q837" s="84"/>
      <c r="R837" s="84"/>
      <c r="S837" s="84"/>
      <c r="T837" s="84"/>
      <c r="U837" s="84"/>
      <c r="V837" s="84"/>
      <c r="W837" s="84"/>
      <c r="X837" s="84"/>
      <c r="Y837" s="84"/>
      <c r="Z837" s="84">
        <v>0.5</v>
      </c>
      <c r="AA837" s="84"/>
      <c r="AB837" s="84"/>
      <c r="AC837" s="84"/>
      <c r="AD837" s="84"/>
      <c r="AE837" s="84"/>
      <c r="AF837" s="84"/>
      <c r="AG837" s="84"/>
      <c r="AH837" s="84"/>
      <c r="AI837" s="84"/>
      <c r="AJ837" s="84"/>
      <c r="AK837" s="84"/>
      <c r="AL837" s="84"/>
      <c r="AM837" s="84"/>
      <c r="AN837" s="84"/>
      <c r="AO837" s="84"/>
      <c r="AP837" s="84"/>
      <c r="AQ837" s="84"/>
      <c r="AR837" s="84"/>
      <c r="AS837" s="84"/>
      <c r="AT837" s="84"/>
      <c r="AU837" s="84"/>
      <c r="AV837" s="84"/>
      <c r="AW837" s="84"/>
      <c r="AX837" s="84"/>
      <c r="AY837" s="84"/>
      <c r="AZ837" s="84"/>
      <c r="BA837" s="84"/>
      <c r="BB837" s="84"/>
      <c r="BC837" s="84"/>
      <c r="BD837" s="84"/>
      <c r="BE837" s="84"/>
      <c r="BF837" s="84"/>
      <c r="BG837" s="84"/>
      <c r="BH837" s="84"/>
      <c r="BI837" s="84"/>
      <c r="BJ837" s="78">
        <f t="shared" si="97"/>
        <v>0</v>
      </c>
      <c r="BK837" s="84"/>
      <c r="BL837" s="44">
        <v>41</v>
      </c>
      <c r="BM837" s="79">
        <f t="shared" si="98"/>
        <v>0</v>
      </c>
      <c r="BN837" s="75"/>
      <c r="BO837" s="75"/>
    </row>
    <row r="838" spans="1:67" s="4" customFormat="1" x14ac:dyDescent="0.3">
      <c r="A838" s="48">
        <v>123</v>
      </c>
      <c r="B838" s="50" t="s">
        <v>306</v>
      </c>
      <c r="C838" s="48" t="s">
        <v>29</v>
      </c>
      <c r="D838" s="39">
        <v>1.52</v>
      </c>
      <c r="E838" s="39"/>
      <c r="F838" s="39">
        <v>1.52</v>
      </c>
      <c r="G838" s="39">
        <v>1.17</v>
      </c>
      <c r="H838" s="39"/>
      <c r="I838" s="39"/>
      <c r="J838" s="39">
        <v>0.35</v>
      </c>
      <c r="K838" s="42" t="s">
        <v>971</v>
      </c>
      <c r="L838" s="42" t="s">
        <v>285</v>
      </c>
      <c r="M838" s="48">
        <v>7</v>
      </c>
      <c r="N838" s="206">
        <v>670</v>
      </c>
      <c r="O838" s="48"/>
      <c r="P838" s="84"/>
      <c r="Q838" s="84"/>
      <c r="R838" s="84"/>
      <c r="S838" s="84"/>
      <c r="T838" s="84"/>
      <c r="U838" s="84"/>
      <c r="V838" s="84"/>
      <c r="W838" s="84"/>
      <c r="X838" s="84">
        <v>0.35</v>
      </c>
      <c r="Y838" s="84"/>
      <c r="Z838" s="84"/>
      <c r="AA838" s="84"/>
      <c r="AB838" s="84"/>
      <c r="AC838" s="84"/>
      <c r="AD838" s="84"/>
      <c r="AE838" s="84"/>
      <c r="AF838" s="84"/>
      <c r="AG838" s="84"/>
      <c r="AH838" s="84"/>
      <c r="AI838" s="84"/>
      <c r="AJ838" s="84"/>
      <c r="AK838" s="84"/>
      <c r="AL838" s="84"/>
      <c r="AM838" s="84"/>
      <c r="AN838" s="84"/>
      <c r="AO838" s="84"/>
      <c r="AP838" s="84"/>
      <c r="AQ838" s="84"/>
      <c r="AR838" s="84"/>
      <c r="AS838" s="84"/>
      <c r="AT838" s="84"/>
      <c r="AU838" s="84"/>
      <c r="AV838" s="84"/>
      <c r="AW838" s="84"/>
      <c r="AX838" s="84"/>
      <c r="AY838" s="84"/>
      <c r="AZ838" s="84"/>
      <c r="BA838" s="84"/>
      <c r="BB838" s="84"/>
      <c r="BC838" s="84"/>
      <c r="BD838" s="84"/>
      <c r="BE838" s="118"/>
      <c r="BF838" s="84"/>
      <c r="BG838" s="84"/>
      <c r="BH838" s="84"/>
      <c r="BI838" s="84"/>
      <c r="BJ838" s="78">
        <f t="shared" si="97"/>
        <v>0</v>
      </c>
      <c r="BK838" s="84"/>
      <c r="BL838" s="44">
        <v>41</v>
      </c>
      <c r="BM838" s="79">
        <f t="shared" si="98"/>
        <v>0</v>
      </c>
      <c r="BN838" s="75"/>
      <c r="BO838" s="75"/>
    </row>
    <row r="839" spans="1:67" s="4" customFormat="1" ht="31.2" x14ac:dyDescent="0.3">
      <c r="A839" s="48">
        <v>124</v>
      </c>
      <c r="B839" s="42" t="s">
        <v>352</v>
      </c>
      <c r="C839" s="48" t="s">
        <v>29</v>
      </c>
      <c r="D839" s="39">
        <v>6.94</v>
      </c>
      <c r="E839" s="39"/>
      <c r="F839" s="39">
        <v>6.94</v>
      </c>
      <c r="G839" s="39">
        <f>0.79+0.71</f>
        <v>1.5</v>
      </c>
      <c r="H839" s="39"/>
      <c r="I839" s="39"/>
      <c r="J839" s="39">
        <v>5.44</v>
      </c>
      <c r="K839" s="92" t="s">
        <v>111</v>
      </c>
      <c r="L839" s="42" t="s">
        <v>285</v>
      </c>
      <c r="M839" s="48">
        <v>8</v>
      </c>
      <c r="N839" s="206">
        <v>671</v>
      </c>
      <c r="O839" s="48"/>
      <c r="P839" s="84"/>
      <c r="Q839" s="84"/>
      <c r="R839" s="84"/>
      <c r="S839" s="84"/>
      <c r="T839" s="84"/>
      <c r="U839" s="84"/>
      <c r="V839" s="84"/>
      <c r="W839" s="84"/>
      <c r="X839" s="84"/>
      <c r="Y839" s="84"/>
      <c r="Z839" s="84">
        <v>0.47</v>
      </c>
      <c r="AA839" s="84">
        <f>1.28+0.07</f>
        <v>1.35</v>
      </c>
      <c r="AB839" s="84">
        <v>0.1</v>
      </c>
      <c r="AC839" s="84"/>
      <c r="AD839" s="84"/>
      <c r="AE839" s="84"/>
      <c r="AF839" s="84"/>
      <c r="AG839" s="84"/>
      <c r="AH839" s="84"/>
      <c r="AI839" s="84"/>
      <c r="AJ839" s="84"/>
      <c r="AK839" s="84"/>
      <c r="AL839" s="84"/>
      <c r="AM839" s="84"/>
      <c r="AN839" s="84"/>
      <c r="AO839" s="84"/>
      <c r="AP839" s="84"/>
      <c r="AQ839" s="84"/>
      <c r="AR839" s="84">
        <v>0.08</v>
      </c>
      <c r="AS839" s="84"/>
      <c r="AT839" s="84"/>
      <c r="AU839" s="84"/>
      <c r="AV839" s="84"/>
      <c r="AW839" s="84"/>
      <c r="AX839" s="84"/>
      <c r="AY839" s="84"/>
      <c r="AZ839" s="84"/>
      <c r="BA839" s="84"/>
      <c r="BB839" s="84"/>
      <c r="BC839" s="84"/>
      <c r="BD839" s="84"/>
      <c r="BE839" s="118">
        <f>2.92+0.04+0.05+0.1+0.15+0.06+0.12</f>
        <v>3.44</v>
      </c>
      <c r="BF839" s="84"/>
      <c r="BG839" s="84"/>
      <c r="BH839" s="84"/>
      <c r="BI839" s="84"/>
      <c r="BJ839" s="78">
        <f t="shared" si="97"/>
        <v>0</v>
      </c>
      <c r="BK839" s="84"/>
      <c r="BL839" s="44">
        <v>41</v>
      </c>
      <c r="BM839" s="79">
        <f t="shared" si="98"/>
        <v>0</v>
      </c>
      <c r="BN839" s="75"/>
      <c r="BO839" s="75"/>
    </row>
    <row r="840" spans="1:67" s="4" customFormat="1" x14ac:dyDescent="0.3">
      <c r="A840" s="48">
        <v>125</v>
      </c>
      <c r="B840" s="50" t="s">
        <v>306</v>
      </c>
      <c r="C840" s="48" t="s">
        <v>29</v>
      </c>
      <c r="D840" s="39">
        <f>2.66+0.11+0.2+0.31+0.12+0.1+0.62-0.32-0.12</f>
        <v>3.68</v>
      </c>
      <c r="E840" s="39"/>
      <c r="F840" s="39">
        <v>3.68</v>
      </c>
      <c r="G840" s="39">
        <f>2.66+0.31+0.12+0.1+0.62-0.1-0.32-0.12</f>
        <v>3.2700000000000005</v>
      </c>
      <c r="H840" s="39"/>
      <c r="I840" s="39"/>
      <c r="J840" s="39">
        <f t="shared" ref="J840:J846" si="99">SUM(X840:BG840)</f>
        <v>0.41000000000000003</v>
      </c>
      <c r="K840" s="42" t="s">
        <v>351</v>
      </c>
      <c r="L840" s="42" t="s">
        <v>347</v>
      </c>
      <c r="M840" s="44">
        <v>3</v>
      </c>
      <c r="N840" s="209">
        <v>672</v>
      </c>
      <c r="O840" s="44"/>
      <c r="P840" s="84"/>
      <c r="Q840" s="84"/>
      <c r="R840" s="84"/>
      <c r="S840" s="84"/>
      <c r="T840" s="84"/>
      <c r="U840" s="84"/>
      <c r="V840" s="84"/>
      <c r="W840" s="84"/>
      <c r="X840" s="84"/>
      <c r="Y840" s="84"/>
      <c r="Z840" s="84"/>
      <c r="AA840" s="84"/>
      <c r="AB840" s="84">
        <f>0.11+0.2</f>
        <v>0.31</v>
      </c>
      <c r="AC840" s="84"/>
      <c r="AD840" s="84"/>
      <c r="AE840" s="84"/>
      <c r="AF840" s="84"/>
      <c r="AG840" s="84"/>
      <c r="AH840" s="84"/>
      <c r="AI840" s="84"/>
      <c r="AJ840" s="84"/>
      <c r="AK840" s="84"/>
      <c r="AL840" s="84"/>
      <c r="AM840" s="84"/>
      <c r="AN840" s="84"/>
      <c r="AO840" s="84"/>
      <c r="AP840" s="84"/>
      <c r="AQ840" s="84"/>
      <c r="AR840" s="84"/>
      <c r="AS840" s="84"/>
      <c r="AT840" s="84"/>
      <c r="AU840" s="84"/>
      <c r="AV840" s="84"/>
      <c r="AW840" s="84"/>
      <c r="AX840" s="84"/>
      <c r="AY840" s="84"/>
      <c r="AZ840" s="84"/>
      <c r="BA840" s="84"/>
      <c r="BB840" s="84"/>
      <c r="BC840" s="84"/>
      <c r="BD840" s="84"/>
      <c r="BE840" s="84">
        <v>0.1</v>
      </c>
      <c r="BF840" s="84"/>
      <c r="BG840" s="84"/>
      <c r="BH840" s="79">
        <f t="shared" ref="BH840:BH846" si="100">J840-SUM(V840:BG840)</f>
        <v>0</v>
      </c>
      <c r="BI840" s="79"/>
      <c r="BJ840" s="78">
        <f t="shared" si="97"/>
        <v>0</v>
      </c>
      <c r="BK840" s="48"/>
      <c r="BL840" s="44">
        <v>41</v>
      </c>
      <c r="BM840" s="79">
        <f t="shared" si="98"/>
        <v>0</v>
      </c>
      <c r="BN840" s="75"/>
      <c r="BO840" s="75"/>
    </row>
    <row r="841" spans="1:67" s="4" customFormat="1" ht="59.25" customHeight="1" x14ac:dyDescent="0.3">
      <c r="A841" s="48">
        <v>126</v>
      </c>
      <c r="B841" s="42" t="s">
        <v>352</v>
      </c>
      <c r="C841" s="48" t="s">
        <v>29</v>
      </c>
      <c r="D841" s="39">
        <v>2</v>
      </c>
      <c r="E841" s="39"/>
      <c r="F841" s="39">
        <v>2</v>
      </c>
      <c r="G841" s="39"/>
      <c r="H841" s="39"/>
      <c r="I841" s="39"/>
      <c r="J841" s="39">
        <v>2</v>
      </c>
      <c r="K841" s="92" t="s">
        <v>111</v>
      </c>
      <c r="L841" s="42" t="s">
        <v>347</v>
      </c>
      <c r="M841" s="44">
        <v>6</v>
      </c>
      <c r="N841" s="209">
        <v>673</v>
      </c>
      <c r="O841" s="201" t="s">
        <v>1202</v>
      </c>
      <c r="P841" s="84"/>
      <c r="Q841" s="84"/>
      <c r="R841" s="84"/>
      <c r="S841" s="84"/>
      <c r="T841" s="84"/>
      <c r="U841" s="84"/>
      <c r="V841" s="84"/>
      <c r="W841" s="84"/>
      <c r="X841" s="84"/>
      <c r="Y841" s="84"/>
      <c r="Z841" s="84"/>
      <c r="AA841" s="84"/>
      <c r="AB841" s="84">
        <v>0.5</v>
      </c>
      <c r="AC841" s="84"/>
      <c r="AD841" s="84"/>
      <c r="AE841" s="84"/>
      <c r="AF841" s="84"/>
      <c r="AG841" s="84"/>
      <c r="AH841" s="84"/>
      <c r="AI841" s="84"/>
      <c r="AJ841" s="84"/>
      <c r="AK841" s="84"/>
      <c r="AL841" s="84"/>
      <c r="AM841" s="84"/>
      <c r="AN841" s="84"/>
      <c r="AO841" s="84"/>
      <c r="AP841" s="84"/>
      <c r="AQ841" s="84"/>
      <c r="AR841" s="84"/>
      <c r="AS841" s="84"/>
      <c r="AT841" s="84"/>
      <c r="AU841" s="84"/>
      <c r="AV841" s="84"/>
      <c r="AW841" s="84"/>
      <c r="AX841" s="84"/>
      <c r="AY841" s="84"/>
      <c r="AZ841" s="84"/>
      <c r="BA841" s="84"/>
      <c r="BB841" s="84"/>
      <c r="BC841" s="84"/>
      <c r="BD841" s="84"/>
      <c r="BE841" s="84">
        <v>1.5</v>
      </c>
      <c r="BF841" s="84"/>
      <c r="BG841" s="84"/>
      <c r="BH841" s="79">
        <f t="shared" si="100"/>
        <v>0</v>
      </c>
      <c r="BI841" s="79"/>
      <c r="BJ841" s="78">
        <f t="shared" si="97"/>
        <v>0</v>
      </c>
      <c r="BK841" s="48"/>
      <c r="BL841" s="44">
        <v>41</v>
      </c>
      <c r="BM841" s="79">
        <f t="shared" si="98"/>
        <v>0</v>
      </c>
      <c r="BN841" s="75"/>
      <c r="BO841" s="75"/>
    </row>
    <row r="842" spans="1:67" s="4" customFormat="1" ht="22.5" customHeight="1" x14ac:dyDescent="0.3">
      <c r="A842" s="48">
        <v>127</v>
      </c>
      <c r="B842" s="50" t="s">
        <v>306</v>
      </c>
      <c r="C842" s="48" t="s">
        <v>29</v>
      </c>
      <c r="D842" s="39">
        <f>6.58+1.25+0.31+0.48+0.81+0.32+1.26+1.03</f>
        <v>12.040000000000001</v>
      </c>
      <c r="E842" s="39"/>
      <c r="F842" s="39">
        <v>12.04</v>
      </c>
      <c r="G842" s="39">
        <f>6.12+1.25+0.31+0.48+0.81+0.32+1.26+1.03</f>
        <v>11.58</v>
      </c>
      <c r="H842" s="39"/>
      <c r="I842" s="39"/>
      <c r="J842" s="39">
        <f t="shared" si="99"/>
        <v>0.46</v>
      </c>
      <c r="K842" s="42" t="s">
        <v>346</v>
      </c>
      <c r="L842" s="42" t="s">
        <v>347</v>
      </c>
      <c r="M842" s="44">
        <v>8</v>
      </c>
      <c r="N842" s="209">
        <v>674</v>
      </c>
      <c r="O842" s="44"/>
      <c r="P842" s="84"/>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842" s="84"/>
      <c r="AN842" s="84"/>
      <c r="AO842" s="84">
        <v>0.46</v>
      </c>
      <c r="AP842" s="84"/>
      <c r="AQ842" s="84"/>
      <c r="AR842" s="84"/>
      <c r="AS842" s="84"/>
      <c r="AT842" s="84"/>
      <c r="AU842" s="84"/>
      <c r="AV842" s="84"/>
      <c r="AW842" s="84"/>
      <c r="AX842" s="84"/>
      <c r="AY842" s="84"/>
      <c r="AZ842" s="84"/>
      <c r="BA842" s="84"/>
      <c r="BB842" s="84"/>
      <c r="BC842" s="84"/>
      <c r="BD842" s="84"/>
      <c r="BE842" s="84"/>
      <c r="BF842" s="84"/>
      <c r="BG842" s="84"/>
      <c r="BH842" s="79">
        <f t="shared" si="100"/>
        <v>0</v>
      </c>
      <c r="BI842" s="79"/>
      <c r="BJ842" s="78">
        <f t="shared" si="97"/>
        <v>0</v>
      </c>
      <c r="BK842" s="48"/>
      <c r="BL842" s="44">
        <v>41</v>
      </c>
      <c r="BM842" s="79">
        <f t="shared" si="98"/>
        <v>0</v>
      </c>
      <c r="BN842" s="75"/>
      <c r="BO842" s="75"/>
    </row>
    <row r="843" spans="1:67" s="4" customFormat="1" ht="22.5" customHeight="1" x14ac:dyDescent="0.3">
      <c r="A843" s="48">
        <v>128</v>
      </c>
      <c r="B843" s="50" t="s">
        <v>306</v>
      </c>
      <c r="C843" s="48" t="s">
        <v>29</v>
      </c>
      <c r="D843" s="39">
        <v>8.07</v>
      </c>
      <c r="E843" s="39"/>
      <c r="F843" s="39">
        <v>8.07</v>
      </c>
      <c r="G843" s="39">
        <v>8.07</v>
      </c>
      <c r="H843" s="39"/>
      <c r="I843" s="39"/>
      <c r="J843" s="39">
        <f t="shared" si="99"/>
        <v>0</v>
      </c>
      <c r="K843" s="42" t="s">
        <v>353</v>
      </c>
      <c r="L843" s="42" t="s">
        <v>347</v>
      </c>
      <c r="M843" s="44">
        <v>12</v>
      </c>
      <c r="N843" s="209">
        <v>675</v>
      </c>
      <c r="O843" s="4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843" s="84"/>
      <c r="AN843" s="84"/>
      <c r="AO843" s="84"/>
      <c r="AP843" s="84"/>
      <c r="AQ843" s="84"/>
      <c r="AR843" s="84"/>
      <c r="AS843" s="84"/>
      <c r="AT843" s="84"/>
      <c r="AU843" s="84"/>
      <c r="AV843" s="84"/>
      <c r="AW843" s="84"/>
      <c r="AX843" s="84"/>
      <c r="AY843" s="84"/>
      <c r="AZ843" s="84"/>
      <c r="BA843" s="84"/>
      <c r="BB843" s="84"/>
      <c r="BC843" s="84"/>
      <c r="BD843" s="84"/>
      <c r="BE843" s="84"/>
      <c r="BF843" s="84"/>
      <c r="BG843" s="84"/>
      <c r="BH843" s="79">
        <f t="shared" si="100"/>
        <v>0</v>
      </c>
      <c r="BI843" s="79"/>
      <c r="BJ843" s="78">
        <f t="shared" si="97"/>
        <v>0</v>
      </c>
      <c r="BK843" s="48"/>
      <c r="BL843" s="44">
        <v>41</v>
      </c>
      <c r="BM843" s="79">
        <f t="shared" si="98"/>
        <v>0</v>
      </c>
      <c r="BN843" s="75"/>
      <c r="BO843" s="75"/>
    </row>
    <row r="844" spans="1:67" s="4" customFormat="1" ht="22.5" customHeight="1" x14ac:dyDescent="0.3">
      <c r="A844" s="48">
        <v>129</v>
      </c>
      <c r="B844" s="50" t="s">
        <v>306</v>
      </c>
      <c r="C844" s="48" t="s">
        <v>29</v>
      </c>
      <c r="D844" s="39">
        <f>1.87+0.35+0.38+4.89+0.63</f>
        <v>8.120000000000001</v>
      </c>
      <c r="E844" s="39"/>
      <c r="F844" s="39">
        <v>8.1199999999999992</v>
      </c>
      <c r="G844" s="39">
        <f>2.5+4.89+0.63</f>
        <v>8.02</v>
      </c>
      <c r="H844" s="39"/>
      <c r="I844" s="39"/>
      <c r="J844" s="39">
        <f t="shared" si="99"/>
        <v>0.1</v>
      </c>
      <c r="K844" s="42" t="s">
        <v>354</v>
      </c>
      <c r="L844" s="42" t="s">
        <v>347</v>
      </c>
      <c r="M844" s="44">
        <v>13</v>
      </c>
      <c r="N844" s="209">
        <v>676</v>
      </c>
      <c r="O844" s="4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844" s="84"/>
      <c r="AN844" s="84"/>
      <c r="AO844" s="84"/>
      <c r="AP844" s="84"/>
      <c r="AQ844" s="84"/>
      <c r="AR844" s="84"/>
      <c r="AS844" s="84"/>
      <c r="AT844" s="84"/>
      <c r="AU844" s="84"/>
      <c r="AV844" s="84"/>
      <c r="AW844" s="84"/>
      <c r="AX844" s="84"/>
      <c r="AY844" s="84"/>
      <c r="AZ844" s="84"/>
      <c r="BA844" s="84"/>
      <c r="BB844" s="84"/>
      <c r="BC844" s="84"/>
      <c r="BD844" s="84"/>
      <c r="BE844" s="84">
        <v>0.1</v>
      </c>
      <c r="BF844" s="84"/>
      <c r="BG844" s="84"/>
      <c r="BH844" s="79">
        <f t="shared" si="100"/>
        <v>0</v>
      </c>
      <c r="BI844" s="79"/>
      <c r="BJ844" s="78">
        <f t="shared" si="97"/>
        <v>0</v>
      </c>
      <c r="BK844" s="48"/>
      <c r="BL844" s="44">
        <v>41</v>
      </c>
      <c r="BM844" s="79">
        <f t="shared" si="98"/>
        <v>0</v>
      </c>
      <c r="BN844" s="75"/>
      <c r="BO844" s="75"/>
    </row>
    <row r="845" spans="1:67" s="4" customFormat="1" ht="22.5" customHeight="1" x14ac:dyDescent="0.3">
      <c r="A845" s="48">
        <v>130</v>
      </c>
      <c r="B845" s="50" t="s">
        <v>306</v>
      </c>
      <c r="C845" s="48" t="s">
        <v>29</v>
      </c>
      <c r="D845" s="39">
        <f>0.58+0.49+0.52+0.38+1.13+0.12+0.17+0.57+0.72+0.28+0.55+0.77+1.01</f>
        <v>7.2899999999999991</v>
      </c>
      <c r="E845" s="39"/>
      <c r="F845" s="39">
        <v>7.29</v>
      </c>
      <c r="G845" s="39">
        <f>1.59-0.52+1.13+0.38+0.12+0.17+0.57+0.72+0.28+0.55+0.77+1.01</f>
        <v>6.77</v>
      </c>
      <c r="H845" s="39"/>
      <c r="I845" s="39"/>
      <c r="J845" s="39">
        <f t="shared" si="99"/>
        <v>0.52</v>
      </c>
      <c r="K845" s="42" t="s">
        <v>355</v>
      </c>
      <c r="L845" s="42" t="s">
        <v>347</v>
      </c>
      <c r="M845" s="44">
        <v>14</v>
      </c>
      <c r="N845" s="209">
        <v>677</v>
      </c>
      <c r="O845" s="4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845" s="84"/>
      <c r="AN845" s="84"/>
      <c r="AO845" s="84">
        <v>0.52</v>
      </c>
      <c r="AP845" s="84"/>
      <c r="AQ845" s="84"/>
      <c r="AR845" s="84"/>
      <c r="AS845" s="84"/>
      <c r="AT845" s="84"/>
      <c r="AU845" s="84"/>
      <c r="AV845" s="84"/>
      <c r="AW845" s="84"/>
      <c r="AX845" s="84"/>
      <c r="AY845" s="84"/>
      <c r="AZ845" s="84"/>
      <c r="BA845" s="84"/>
      <c r="BB845" s="84"/>
      <c r="BC845" s="84"/>
      <c r="BD845" s="84"/>
      <c r="BE845" s="84"/>
      <c r="BF845" s="84"/>
      <c r="BG845" s="84"/>
      <c r="BH845" s="79">
        <f t="shared" si="100"/>
        <v>0</v>
      </c>
      <c r="BI845" s="79"/>
      <c r="BJ845" s="78">
        <f t="shared" si="97"/>
        <v>0</v>
      </c>
      <c r="BK845" s="48"/>
      <c r="BL845" s="44">
        <v>41</v>
      </c>
      <c r="BM845" s="79">
        <f t="shared" si="98"/>
        <v>0</v>
      </c>
      <c r="BN845" s="75"/>
      <c r="BO845" s="75"/>
    </row>
    <row r="846" spans="1:67" s="4" customFormat="1" ht="51" customHeight="1" x14ac:dyDescent="0.3">
      <c r="A846" s="48">
        <v>131</v>
      </c>
      <c r="B846" s="50" t="s">
        <v>306</v>
      </c>
      <c r="C846" s="48" t="s">
        <v>29</v>
      </c>
      <c r="D846" s="39">
        <f>1.3+0.03+0.85+1.74+1.86+3.02+2.29+1.05+0.74+0.72+1.92+1.2+2.97+2.65-1.14</f>
        <v>21.2</v>
      </c>
      <c r="E846" s="39"/>
      <c r="F846" s="39">
        <f>22.34-1.14</f>
        <v>21.2</v>
      </c>
      <c r="G846" s="39">
        <f>1.3+0.85+1.86+3.02+4.26-4.92+1.2+2.97+2.65</f>
        <v>13.19</v>
      </c>
      <c r="H846" s="39"/>
      <c r="I846" s="39"/>
      <c r="J846" s="39">
        <f t="shared" si="99"/>
        <v>8.0100000000000016</v>
      </c>
      <c r="K846" s="42" t="s">
        <v>356</v>
      </c>
      <c r="L846" s="42" t="s">
        <v>347</v>
      </c>
      <c r="M846" s="44">
        <v>15</v>
      </c>
      <c r="N846" s="209">
        <v>678</v>
      </c>
      <c r="O846" s="201" t="s">
        <v>1065</v>
      </c>
      <c r="P846" s="84"/>
      <c r="Q846" s="84"/>
      <c r="R846" s="84"/>
      <c r="S846" s="84"/>
      <c r="T846" s="84"/>
      <c r="U846" s="84"/>
      <c r="V846" s="84"/>
      <c r="W846" s="84"/>
      <c r="X846" s="84">
        <v>0.61</v>
      </c>
      <c r="Y846" s="84"/>
      <c r="Z846" s="84">
        <f>0.66+0.03+2.29-0.15+1.05+0.74+0.72-0.42+0.99-1.14</f>
        <v>4.7700000000000005</v>
      </c>
      <c r="AA846" s="84"/>
      <c r="AB846" s="84"/>
      <c r="AC846" s="84"/>
      <c r="AD846" s="84"/>
      <c r="AE846" s="84"/>
      <c r="AF846" s="84"/>
      <c r="AG846" s="84"/>
      <c r="AH846" s="84"/>
      <c r="AI846" s="84"/>
      <c r="AJ846" s="84"/>
      <c r="AK846" s="84"/>
      <c r="AL846" s="84"/>
      <c r="AM846" s="84"/>
      <c r="AN846" s="84"/>
      <c r="AO846" s="84"/>
      <c r="AP846" s="84"/>
      <c r="AQ846" s="84"/>
      <c r="AR846" s="84"/>
      <c r="AS846" s="84"/>
      <c r="AT846" s="84"/>
      <c r="AU846" s="84"/>
      <c r="AV846" s="84"/>
      <c r="AW846" s="84"/>
      <c r="AX846" s="84"/>
      <c r="AY846" s="84"/>
      <c r="AZ846" s="84"/>
      <c r="BA846" s="84"/>
      <c r="BB846" s="84"/>
      <c r="BC846" s="84"/>
      <c r="BD846" s="84"/>
      <c r="BE846" s="84">
        <f>1.74+0.15+0.42+0.32</f>
        <v>2.63</v>
      </c>
      <c r="BF846" s="84"/>
      <c r="BG846" s="84"/>
      <c r="BH846" s="79">
        <f t="shared" si="100"/>
        <v>0</v>
      </c>
      <c r="BI846" s="79"/>
      <c r="BJ846" s="78">
        <f t="shared" si="97"/>
        <v>0</v>
      </c>
      <c r="BK846" s="48"/>
      <c r="BL846" s="44">
        <v>41</v>
      </c>
      <c r="BM846" s="79">
        <f t="shared" si="98"/>
        <v>0</v>
      </c>
      <c r="BN846" s="75"/>
      <c r="BO846" s="75"/>
    </row>
    <row r="847" spans="1:67" s="4" customFormat="1" x14ac:dyDescent="0.3">
      <c r="A847" s="48">
        <v>132</v>
      </c>
      <c r="B847" s="50" t="s">
        <v>306</v>
      </c>
      <c r="C847" s="48" t="s">
        <v>29</v>
      </c>
      <c r="D847" s="39">
        <v>0.55000000000000004</v>
      </c>
      <c r="E847" s="39"/>
      <c r="F847" s="39">
        <v>0.55000000000000004</v>
      </c>
      <c r="G847" s="39"/>
      <c r="H847" s="39"/>
      <c r="I847" s="39"/>
      <c r="J847" s="39">
        <f t="shared" ref="J847:J873" si="101">SUM(Z847:BG847)</f>
        <v>0.55000000000000004</v>
      </c>
      <c r="K847" s="92" t="s">
        <v>307</v>
      </c>
      <c r="L847" s="42" t="s">
        <v>294</v>
      </c>
      <c r="M847" s="44">
        <v>43</v>
      </c>
      <c r="N847" s="209">
        <v>680</v>
      </c>
      <c r="O847" s="44"/>
      <c r="P847" s="84"/>
      <c r="Q847" s="84"/>
      <c r="R847" s="84"/>
      <c r="S847" s="84"/>
      <c r="T847" s="84"/>
      <c r="U847" s="84"/>
      <c r="V847" s="84"/>
      <c r="W847" s="84"/>
      <c r="X847" s="84"/>
      <c r="Y847" s="84"/>
      <c r="Z847" s="48"/>
      <c r="AA847" s="48"/>
      <c r="AB847" s="48"/>
      <c r="AC847" s="48"/>
      <c r="AD847" s="48"/>
      <c r="AE847" s="48"/>
      <c r="AF847" s="48"/>
      <c r="AG847" s="48"/>
      <c r="AH847" s="48"/>
      <c r="AI847" s="48"/>
      <c r="AJ847" s="48"/>
      <c r="AK847" s="48"/>
      <c r="AL847" s="48"/>
      <c r="AM847" s="48"/>
      <c r="AN847" s="48"/>
      <c r="AO847" s="48">
        <v>0.55000000000000004</v>
      </c>
      <c r="AP847" s="48"/>
      <c r="AQ847" s="48"/>
      <c r="AR847" s="48"/>
      <c r="AS847" s="48"/>
      <c r="AT847" s="48"/>
      <c r="AU847" s="48"/>
      <c r="AV847" s="48"/>
      <c r="AW847" s="48"/>
      <c r="AX847" s="48"/>
      <c r="AY847" s="48"/>
      <c r="AZ847" s="48"/>
      <c r="BA847" s="48"/>
      <c r="BB847" s="48"/>
      <c r="BC847" s="48"/>
      <c r="BD847" s="48"/>
      <c r="BE847" s="48"/>
      <c r="BF847" s="48"/>
      <c r="BG847" s="48"/>
      <c r="BH847" s="48"/>
      <c r="BI847" s="48"/>
      <c r="BJ847" s="78">
        <f t="shared" si="97"/>
        <v>0</v>
      </c>
      <c r="BK847" s="48"/>
      <c r="BL847" s="44">
        <v>41</v>
      </c>
      <c r="BM847" s="79">
        <f t="shared" si="98"/>
        <v>0</v>
      </c>
      <c r="BN847" s="75"/>
      <c r="BO847" s="75"/>
    </row>
    <row r="848" spans="1:67" s="4" customFormat="1" ht="31.2" x14ac:dyDescent="0.3">
      <c r="A848" s="48">
        <v>133</v>
      </c>
      <c r="B848" s="50" t="s">
        <v>306</v>
      </c>
      <c r="C848" s="48" t="s">
        <v>29</v>
      </c>
      <c r="D848" s="39">
        <f>2.41+0.12</f>
        <v>2.5300000000000002</v>
      </c>
      <c r="E848" s="39"/>
      <c r="F848" s="39">
        <f>2.41+0.12</f>
        <v>2.5300000000000002</v>
      </c>
      <c r="G848" s="39">
        <f>2.41-0.06+0.12</f>
        <v>2.4700000000000002</v>
      </c>
      <c r="H848" s="39"/>
      <c r="I848" s="39"/>
      <c r="J848" s="39">
        <f t="shared" si="101"/>
        <v>0.06</v>
      </c>
      <c r="K848" s="42" t="s">
        <v>310</v>
      </c>
      <c r="L848" s="42" t="s">
        <v>294</v>
      </c>
      <c r="M848" s="43">
        <v>4</v>
      </c>
      <c r="N848" s="210">
        <v>681</v>
      </c>
      <c r="O848" s="43"/>
      <c r="P848" s="84"/>
      <c r="Q848" s="84"/>
      <c r="R848" s="84"/>
      <c r="S848" s="84"/>
      <c r="T848" s="84"/>
      <c r="U848" s="84"/>
      <c r="V848" s="84"/>
      <c r="W848" s="84"/>
      <c r="X848" s="84"/>
      <c r="Y848" s="84"/>
      <c r="Z848" s="48"/>
      <c r="AA848" s="48"/>
      <c r="AB848" s="48">
        <f>0.06</f>
        <v>0.06</v>
      </c>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c r="BG848" s="48"/>
      <c r="BH848" s="48"/>
      <c r="BI848" s="48"/>
      <c r="BJ848" s="78">
        <f t="shared" si="97"/>
        <v>0</v>
      </c>
      <c r="BK848" s="48"/>
      <c r="BL848" s="44">
        <v>41</v>
      </c>
      <c r="BM848" s="79">
        <f t="shared" si="98"/>
        <v>0</v>
      </c>
      <c r="BN848" s="75"/>
      <c r="BO848" s="75"/>
    </row>
    <row r="849" spans="1:70" s="4" customFormat="1" ht="31.2" x14ac:dyDescent="0.3">
      <c r="A849" s="48">
        <v>134</v>
      </c>
      <c r="B849" s="42" t="s">
        <v>311</v>
      </c>
      <c r="C849" s="48" t="s">
        <v>29</v>
      </c>
      <c r="D849" s="39">
        <f>0.03+6.6</f>
        <v>6.63</v>
      </c>
      <c r="E849" s="39"/>
      <c r="F849" s="39">
        <f>0.03+6.6</f>
        <v>6.63</v>
      </c>
      <c r="G849" s="39">
        <v>5.83</v>
      </c>
      <c r="H849" s="39"/>
      <c r="I849" s="39"/>
      <c r="J849" s="39">
        <f t="shared" si="101"/>
        <v>0.8</v>
      </c>
      <c r="K849" s="42" t="s">
        <v>312</v>
      </c>
      <c r="L849" s="42" t="s">
        <v>294</v>
      </c>
      <c r="M849" s="43">
        <v>5</v>
      </c>
      <c r="N849" s="210">
        <v>682</v>
      </c>
      <c r="O849" s="43"/>
      <c r="P849" s="84"/>
      <c r="Q849" s="84"/>
      <c r="R849" s="84"/>
      <c r="S849" s="84"/>
      <c r="T849" s="84"/>
      <c r="U849" s="84"/>
      <c r="V849" s="84"/>
      <c r="W849" s="84"/>
      <c r="X849" s="84"/>
      <c r="Y849" s="84"/>
      <c r="Z849" s="48"/>
      <c r="AA849" s="48"/>
      <c r="AB849" s="48"/>
      <c r="AC849" s="48"/>
      <c r="AD849" s="48"/>
      <c r="AE849" s="48"/>
      <c r="AF849" s="48"/>
      <c r="AG849" s="48"/>
      <c r="AH849" s="48"/>
      <c r="AI849" s="48"/>
      <c r="AJ849" s="48"/>
      <c r="AK849" s="48"/>
      <c r="AL849" s="48"/>
      <c r="AM849" s="48"/>
      <c r="AN849" s="48"/>
      <c r="AO849" s="48"/>
      <c r="AP849" s="48"/>
      <c r="AQ849" s="48">
        <v>0.8</v>
      </c>
      <c r="AR849" s="48"/>
      <c r="AS849" s="48"/>
      <c r="AT849" s="48"/>
      <c r="AU849" s="48"/>
      <c r="AV849" s="48"/>
      <c r="AW849" s="48"/>
      <c r="AX849" s="48"/>
      <c r="AY849" s="48"/>
      <c r="AZ849" s="48"/>
      <c r="BA849" s="48"/>
      <c r="BB849" s="48"/>
      <c r="BC849" s="48"/>
      <c r="BD849" s="48"/>
      <c r="BE849" s="48"/>
      <c r="BF849" s="48"/>
      <c r="BG849" s="48"/>
      <c r="BH849" s="48"/>
      <c r="BI849" s="48"/>
      <c r="BJ849" s="78">
        <f t="shared" si="97"/>
        <v>0</v>
      </c>
      <c r="BK849" s="48"/>
      <c r="BL849" s="44">
        <v>41</v>
      </c>
      <c r="BM849" s="79">
        <f t="shared" si="98"/>
        <v>0</v>
      </c>
      <c r="BN849" s="75"/>
      <c r="BO849" s="75"/>
    </row>
    <row r="850" spans="1:70" s="4" customFormat="1" ht="31.2" x14ac:dyDescent="0.3">
      <c r="A850" s="48">
        <v>135</v>
      </c>
      <c r="B850" s="42" t="s">
        <v>306</v>
      </c>
      <c r="C850" s="48" t="s">
        <v>29</v>
      </c>
      <c r="D850" s="39">
        <f>0.03+0.42</f>
        <v>0.44999999999999996</v>
      </c>
      <c r="E850" s="39"/>
      <c r="F850" s="39">
        <f>0.03+0.42</f>
        <v>0.44999999999999996</v>
      </c>
      <c r="G850" s="39"/>
      <c r="H850" s="39"/>
      <c r="I850" s="39"/>
      <c r="J850" s="39">
        <f t="shared" si="101"/>
        <v>0.44999999999999996</v>
      </c>
      <c r="K850" s="42" t="s">
        <v>313</v>
      </c>
      <c r="L850" s="42" t="s">
        <v>294</v>
      </c>
      <c r="M850" s="43">
        <v>6</v>
      </c>
      <c r="N850" s="210">
        <v>683</v>
      </c>
      <c r="O850" s="43"/>
      <c r="P850" s="84"/>
      <c r="Q850" s="84"/>
      <c r="R850" s="84"/>
      <c r="S850" s="84"/>
      <c r="T850" s="84"/>
      <c r="U850" s="84"/>
      <c r="V850" s="84"/>
      <c r="W850" s="84"/>
      <c r="X850" s="84"/>
      <c r="Y850" s="84"/>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f>0.03+0.42</f>
        <v>0.44999999999999996</v>
      </c>
      <c r="BF850" s="48"/>
      <c r="BG850" s="48"/>
      <c r="BH850" s="48"/>
      <c r="BI850" s="48"/>
      <c r="BJ850" s="78">
        <f t="shared" si="97"/>
        <v>0</v>
      </c>
      <c r="BK850" s="48"/>
      <c r="BL850" s="44">
        <v>41</v>
      </c>
      <c r="BM850" s="79">
        <f t="shared" si="98"/>
        <v>0</v>
      </c>
      <c r="BN850" s="75"/>
      <c r="BO850" s="75"/>
    </row>
    <row r="851" spans="1:70" s="4" customFormat="1" ht="31.2" x14ac:dyDescent="0.3">
      <c r="A851" s="48">
        <v>136</v>
      </c>
      <c r="B851" s="42" t="s">
        <v>306</v>
      </c>
      <c r="C851" s="48" t="s">
        <v>29</v>
      </c>
      <c r="D851" s="39">
        <v>3.68</v>
      </c>
      <c r="E851" s="39"/>
      <c r="F851" s="39">
        <v>3.68</v>
      </c>
      <c r="G851" s="39">
        <v>3.68</v>
      </c>
      <c r="H851" s="39"/>
      <c r="I851" s="39"/>
      <c r="J851" s="39">
        <f t="shared" si="101"/>
        <v>0</v>
      </c>
      <c r="K851" s="42" t="s">
        <v>314</v>
      </c>
      <c r="L851" s="42" t="s">
        <v>294</v>
      </c>
      <c r="M851" s="43">
        <v>7</v>
      </c>
      <c r="N851" s="210">
        <v>684</v>
      </c>
      <c r="O851" s="43"/>
      <c r="P851" s="84"/>
      <c r="Q851" s="84"/>
      <c r="R851" s="84"/>
      <c r="S851" s="84"/>
      <c r="T851" s="84"/>
      <c r="U851" s="84"/>
      <c r="V851" s="84"/>
      <c r="W851" s="84"/>
      <c r="X851" s="84"/>
      <c r="Y851" s="84"/>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c r="BG851" s="48"/>
      <c r="BH851" s="48"/>
      <c r="BI851" s="48"/>
      <c r="BJ851" s="78">
        <f t="shared" si="97"/>
        <v>0</v>
      </c>
      <c r="BK851" s="48"/>
      <c r="BL851" s="44">
        <v>41</v>
      </c>
      <c r="BM851" s="79">
        <f t="shared" si="98"/>
        <v>0</v>
      </c>
      <c r="BN851" s="75"/>
      <c r="BO851" s="75"/>
    </row>
    <row r="852" spans="1:70" s="4" customFormat="1" ht="31.2" x14ac:dyDescent="0.3">
      <c r="A852" s="48">
        <v>137</v>
      </c>
      <c r="B852" s="42" t="s">
        <v>306</v>
      </c>
      <c r="C852" s="48" t="s">
        <v>29</v>
      </c>
      <c r="D852" s="39">
        <v>5.61</v>
      </c>
      <c r="E852" s="39"/>
      <c r="F852" s="39">
        <v>5.61</v>
      </c>
      <c r="G852" s="39">
        <v>5.51</v>
      </c>
      <c r="H852" s="39"/>
      <c r="I852" s="39"/>
      <c r="J852" s="39">
        <f t="shared" si="101"/>
        <v>0.1</v>
      </c>
      <c r="K852" s="42" t="s">
        <v>315</v>
      </c>
      <c r="L852" s="42" t="s">
        <v>294</v>
      </c>
      <c r="M852" s="43">
        <v>8</v>
      </c>
      <c r="N852" s="210">
        <v>685</v>
      </c>
      <c r="O852" s="43"/>
      <c r="P852" s="84"/>
      <c r="Q852" s="84"/>
      <c r="R852" s="84"/>
      <c r="S852" s="84"/>
      <c r="T852" s="84"/>
      <c r="U852" s="84"/>
      <c r="V852" s="84"/>
      <c r="W852" s="84"/>
      <c r="X852" s="84"/>
      <c r="Y852" s="84"/>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v>0.1</v>
      </c>
      <c r="BF852" s="48"/>
      <c r="BG852" s="48"/>
      <c r="BH852" s="48"/>
      <c r="BI852" s="48"/>
      <c r="BJ852" s="78">
        <f t="shared" si="97"/>
        <v>0</v>
      </c>
      <c r="BK852" s="48"/>
      <c r="BL852" s="44">
        <v>41</v>
      </c>
      <c r="BM852" s="79">
        <f t="shared" si="98"/>
        <v>0</v>
      </c>
      <c r="BN852" s="75"/>
      <c r="BO852" s="75"/>
    </row>
    <row r="853" spans="1:70" s="4" customFormat="1" ht="31.2" x14ac:dyDescent="0.3">
      <c r="A853" s="48">
        <v>138</v>
      </c>
      <c r="B853" s="42" t="s">
        <v>306</v>
      </c>
      <c r="C853" s="48" t="s">
        <v>29</v>
      </c>
      <c r="D853" s="39">
        <v>0.21</v>
      </c>
      <c r="E853" s="39"/>
      <c r="F853" s="39">
        <v>0.21</v>
      </c>
      <c r="G853" s="39"/>
      <c r="H853" s="39"/>
      <c r="I853" s="39"/>
      <c r="J853" s="39">
        <f t="shared" si="101"/>
        <v>0.20999999999999996</v>
      </c>
      <c r="K853" s="42" t="s">
        <v>316</v>
      </c>
      <c r="L853" s="42" t="s">
        <v>294</v>
      </c>
      <c r="M853" s="43">
        <v>9</v>
      </c>
      <c r="N853" s="210">
        <v>686</v>
      </c>
      <c r="O853" s="43"/>
      <c r="P853" s="84"/>
      <c r="Q853" s="84"/>
      <c r="R853" s="84"/>
      <c r="S853" s="84"/>
      <c r="T853" s="84"/>
      <c r="U853" s="84"/>
      <c r="V853" s="84"/>
      <c r="W853" s="84"/>
      <c r="X853" s="84"/>
      <c r="Y853" s="84"/>
      <c r="Z853" s="48"/>
      <c r="AA853" s="48">
        <f>0.21-0.05</f>
        <v>0.15999999999999998</v>
      </c>
      <c r="AB853" s="48">
        <v>0.05</v>
      </c>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c r="BG853" s="48"/>
      <c r="BH853" s="48"/>
      <c r="BI853" s="48"/>
      <c r="BJ853" s="78">
        <f t="shared" si="97"/>
        <v>0</v>
      </c>
      <c r="BK853" s="48"/>
      <c r="BL853" s="44">
        <v>41</v>
      </c>
      <c r="BM853" s="79">
        <f t="shared" si="98"/>
        <v>0</v>
      </c>
      <c r="BN853" s="75"/>
      <c r="BO853" s="75"/>
    </row>
    <row r="854" spans="1:70" s="4" customFormat="1" ht="31.2" x14ac:dyDescent="0.3">
      <c r="A854" s="48">
        <v>139</v>
      </c>
      <c r="B854" s="42" t="s">
        <v>306</v>
      </c>
      <c r="C854" s="48" t="s">
        <v>29</v>
      </c>
      <c r="D854" s="39">
        <f>1.95</f>
        <v>1.95</v>
      </c>
      <c r="E854" s="39"/>
      <c r="F854" s="39">
        <f>1.95</f>
        <v>1.95</v>
      </c>
      <c r="G854" s="39">
        <f>1.95</f>
        <v>1.95</v>
      </c>
      <c r="H854" s="39"/>
      <c r="I854" s="39"/>
      <c r="J854" s="39">
        <f t="shared" si="101"/>
        <v>0</v>
      </c>
      <c r="K854" s="42" t="s">
        <v>317</v>
      </c>
      <c r="L854" s="42" t="s">
        <v>294</v>
      </c>
      <c r="M854" s="43">
        <v>10</v>
      </c>
      <c r="N854" s="210">
        <v>687</v>
      </c>
      <c r="O854" s="43"/>
      <c r="P854" s="84"/>
      <c r="Q854" s="84"/>
      <c r="R854" s="84"/>
      <c r="S854" s="84"/>
      <c r="T854" s="84"/>
      <c r="U854" s="84"/>
      <c r="V854" s="84"/>
      <c r="W854" s="84"/>
      <c r="X854" s="84"/>
      <c r="Y854" s="84"/>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c r="BG854" s="48"/>
      <c r="BH854" s="48"/>
      <c r="BI854" s="48"/>
      <c r="BJ854" s="78">
        <f t="shared" si="97"/>
        <v>0</v>
      </c>
      <c r="BK854" s="48"/>
      <c r="BL854" s="44">
        <v>41</v>
      </c>
      <c r="BM854" s="79">
        <f t="shared" si="98"/>
        <v>0</v>
      </c>
      <c r="BN854" s="75"/>
      <c r="BO854" s="75"/>
    </row>
    <row r="855" spans="1:70" s="4" customFormat="1" x14ac:dyDescent="0.3">
      <c r="A855" s="48">
        <v>140</v>
      </c>
      <c r="B855" s="42" t="s">
        <v>318</v>
      </c>
      <c r="C855" s="48" t="s">
        <v>29</v>
      </c>
      <c r="D855" s="39">
        <f>0.38+0.02</f>
        <v>0.4</v>
      </c>
      <c r="E855" s="39"/>
      <c r="F855" s="39">
        <f>0.38+0.02</f>
        <v>0.4</v>
      </c>
      <c r="G855" s="39">
        <v>0.38</v>
      </c>
      <c r="H855" s="39"/>
      <c r="I855" s="39"/>
      <c r="J855" s="39">
        <f t="shared" si="101"/>
        <v>0.02</v>
      </c>
      <c r="K855" s="42" t="s">
        <v>319</v>
      </c>
      <c r="L855" s="42" t="s">
        <v>294</v>
      </c>
      <c r="M855" s="43">
        <v>11</v>
      </c>
      <c r="N855" s="210">
        <v>688</v>
      </c>
      <c r="O855" s="43"/>
      <c r="P855" s="84"/>
      <c r="Q855" s="84"/>
      <c r="R855" s="84"/>
      <c r="S855" s="84"/>
      <c r="T855" s="84"/>
      <c r="U855" s="84"/>
      <c r="V855" s="84"/>
      <c r="W855" s="84"/>
      <c r="X855" s="84"/>
      <c r="Y855" s="84"/>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v>0.02</v>
      </c>
      <c r="BF855" s="48"/>
      <c r="BG855" s="48"/>
      <c r="BH855" s="48"/>
      <c r="BI855" s="48"/>
      <c r="BJ855" s="78">
        <f t="shared" si="97"/>
        <v>0</v>
      </c>
      <c r="BK855" s="48"/>
      <c r="BL855" s="44">
        <v>41</v>
      </c>
      <c r="BM855" s="79">
        <f t="shared" si="98"/>
        <v>0</v>
      </c>
      <c r="BN855" s="75"/>
      <c r="BO855" s="75"/>
    </row>
    <row r="856" spans="1:70" s="4" customFormat="1" x14ac:dyDescent="0.3">
      <c r="A856" s="48">
        <v>141</v>
      </c>
      <c r="B856" s="42" t="s">
        <v>306</v>
      </c>
      <c r="C856" s="48" t="s">
        <v>29</v>
      </c>
      <c r="D856" s="39">
        <f>0.69+2.75</f>
        <v>3.44</v>
      </c>
      <c r="E856" s="39"/>
      <c r="F856" s="39">
        <f>0.69+2.75</f>
        <v>3.44</v>
      </c>
      <c r="G856" s="39">
        <v>3.44</v>
      </c>
      <c r="H856" s="39"/>
      <c r="I856" s="39"/>
      <c r="J856" s="39">
        <f t="shared" si="101"/>
        <v>0</v>
      </c>
      <c r="K856" s="42" t="s">
        <v>320</v>
      </c>
      <c r="L856" s="42" t="s">
        <v>294</v>
      </c>
      <c r="M856" s="43">
        <v>12</v>
      </c>
      <c r="N856" s="210">
        <v>689</v>
      </c>
      <c r="O856" s="43"/>
      <c r="P856" s="84"/>
      <c r="Q856" s="84"/>
      <c r="R856" s="84"/>
      <c r="S856" s="84"/>
      <c r="T856" s="84"/>
      <c r="U856" s="84"/>
      <c r="V856" s="84"/>
      <c r="W856" s="84"/>
      <c r="X856" s="84"/>
      <c r="Y856" s="84"/>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c r="BI856" s="48"/>
      <c r="BJ856" s="78">
        <f t="shared" si="97"/>
        <v>0</v>
      </c>
      <c r="BK856" s="48"/>
      <c r="BL856" s="44">
        <v>41</v>
      </c>
      <c r="BM856" s="79">
        <f t="shared" si="98"/>
        <v>0</v>
      </c>
      <c r="BN856" s="75"/>
      <c r="BO856" s="75"/>
      <c r="BR856" s="64">
        <f>200000*65</f>
        <v>13000000</v>
      </c>
    </row>
    <row r="857" spans="1:70" s="4" customFormat="1" ht="46.8" x14ac:dyDescent="0.3">
      <c r="A857" s="48">
        <v>142</v>
      </c>
      <c r="B857" s="42" t="s">
        <v>306</v>
      </c>
      <c r="C857" s="48" t="s">
        <v>29</v>
      </c>
      <c r="D857" s="39">
        <f>0.48+0.24+0.72+0.55</f>
        <v>1.99</v>
      </c>
      <c r="E857" s="39"/>
      <c r="F857" s="39">
        <f>0.48+0.24+0.72+0.55</f>
        <v>1.99</v>
      </c>
      <c r="G857" s="39">
        <f>0.72+0.5</f>
        <v>1.22</v>
      </c>
      <c r="H857" s="39"/>
      <c r="I857" s="39"/>
      <c r="J857" s="39">
        <f t="shared" si="101"/>
        <v>0.77</v>
      </c>
      <c r="K857" s="42" t="s">
        <v>321</v>
      </c>
      <c r="L857" s="42" t="s">
        <v>294</v>
      </c>
      <c r="M857" s="43">
        <v>13</v>
      </c>
      <c r="N857" s="210">
        <v>690</v>
      </c>
      <c r="O857" s="43"/>
      <c r="P857" s="84"/>
      <c r="Q857" s="84"/>
      <c r="R857" s="84"/>
      <c r="S857" s="84"/>
      <c r="T857" s="84"/>
      <c r="U857" s="84"/>
      <c r="V857" s="84"/>
      <c r="W857" s="84"/>
      <c r="X857" s="84"/>
      <c r="Y857" s="84"/>
      <c r="Z857" s="48"/>
      <c r="AA857" s="48"/>
      <c r="AB857" s="48"/>
      <c r="AC857" s="48"/>
      <c r="AD857" s="48"/>
      <c r="AE857" s="48"/>
      <c r="AF857" s="48"/>
      <c r="AG857" s="48">
        <v>0.72</v>
      </c>
      <c r="AH857" s="48"/>
      <c r="AI857" s="48"/>
      <c r="AJ857" s="48"/>
      <c r="AK857" s="48"/>
      <c r="AL857" s="48"/>
      <c r="AM857" s="48"/>
      <c r="AN857" s="48"/>
      <c r="AO857" s="48"/>
      <c r="AP857" s="48"/>
      <c r="AQ857" s="48"/>
      <c r="AR857" s="48">
        <v>0.05</v>
      </c>
      <c r="AS857" s="48"/>
      <c r="AT857" s="48"/>
      <c r="AU857" s="48"/>
      <c r="AV857" s="48"/>
      <c r="AW857" s="48"/>
      <c r="AX857" s="48"/>
      <c r="AY857" s="48"/>
      <c r="AZ857" s="48"/>
      <c r="BA857" s="48"/>
      <c r="BB857" s="48"/>
      <c r="BC857" s="48"/>
      <c r="BD857" s="48"/>
      <c r="BE857" s="48"/>
      <c r="BF857" s="48"/>
      <c r="BG857" s="48"/>
      <c r="BH857" s="48"/>
      <c r="BI857" s="48"/>
      <c r="BJ857" s="78">
        <f t="shared" si="97"/>
        <v>0</v>
      </c>
      <c r="BK857" s="48"/>
      <c r="BL857" s="44">
        <v>41</v>
      </c>
      <c r="BM857" s="79">
        <f t="shared" si="98"/>
        <v>0</v>
      </c>
      <c r="BN857" s="75"/>
      <c r="BO857" s="75"/>
    </row>
    <row r="858" spans="1:70" s="4" customFormat="1" x14ac:dyDescent="0.3">
      <c r="A858" s="48">
        <v>143</v>
      </c>
      <c r="B858" s="42" t="s">
        <v>306</v>
      </c>
      <c r="C858" s="48" t="s">
        <v>29</v>
      </c>
      <c r="D858" s="39">
        <f>0.35</f>
        <v>0.35</v>
      </c>
      <c r="E858" s="39"/>
      <c r="F858" s="39">
        <f>0.35</f>
        <v>0.35</v>
      </c>
      <c r="G858" s="39">
        <v>0.35</v>
      </c>
      <c r="H858" s="39"/>
      <c r="I858" s="39"/>
      <c r="J858" s="39">
        <f t="shared" si="101"/>
        <v>0</v>
      </c>
      <c r="K858" s="42" t="s">
        <v>322</v>
      </c>
      <c r="L858" s="42" t="s">
        <v>294</v>
      </c>
      <c r="M858" s="43">
        <v>14</v>
      </c>
      <c r="N858" s="210">
        <v>691</v>
      </c>
      <c r="O858" s="43"/>
      <c r="P858" s="84"/>
      <c r="Q858" s="84"/>
      <c r="R858" s="84"/>
      <c r="S858" s="84"/>
      <c r="T858" s="84"/>
      <c r="U858" s="84"/>
      <c r="V858" s="84"/>
      <c r="W858" s="84"/>
      <c r="X858" s="84"/>
      <c r="Y858" s="84"/>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c r="BI858" s="48"/>
      <c r="BJ858" s="78">
        <f t="shared" si="97"/>
        <v>0</v>
      </c>
      <c r="BK858" s="48"/>
      <c r="BL858" s="44">
        <v>41</v>
      </c>
      <c r="BM858" s="79">
        <f t="shared" si="98"/>
        <v>0</v>
      </c>
      <c r="BN858" s="75"/>
      <c r="BO858" s="75"/>
    </row>
    <row r="859" spans="1:70" s="4" customFormat="1" x14ac:dyDescent="0.3">
      <c r="A859" s="48">
        <v>144</v>
      </c>
      <c r="B859" s="42" t="s">
        <v>306</v>
      </c>
      <c r="C859" s="48" t="s">
        <v>29</v>
      </c>
      <c r="D859" s="39">
        <f>0.84+0.43</f>
        <v>1.27</v>
      </c>
      <c r="E859" s="39"/>
      <c r="F859" s="39">
        <f>0.84+0.43</f>
        <v>1.27</v>
      </c>
      <c r="G859" s="39">
        <v>1.17</v>
      </c>
      <c r="H859" s="39"/>
      <c r="I859" s="39"/>
      <c r="J859" s="39">
        <f t="shared" si="101"/>
        <v>0.1</v>
      </c>
      <c r="K859" s="42" t="s">
        <v>323</v>
      </c>
      <c r="L859" s="42" t="s">
        <v>294</v>
      </c>
      <c r="M859" s="43">
        <v>15</v>
      </c>
      <c r="N859" s="210">
        <v>692</v>
      </c>
      <c r="O859" s="43"/>
      <c r="P859" s="84"/>
      <c r="Q859" s="84"/>
      <c r="R859" s="84"/>
      <c r="S859" s="84"/>
      <c r="T859" s="84"/>
      <c r="U859" s="84"/>
      <c r="V859" s="84"/>
      <c r="W859" s="84"/>
      <c r="X859" s="84"/>
      <c r="Y859" s="84"/>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v>0.1</v>
      </c>
      <c r="BF859" s="48"/>
      <c r="BG859" s="48"/>
      <c r="BH859" s="48"/>
      <c r="BI859" s="48"/>
      <c r="BJ859" s="78">
        <f t="shared" si="97"/>
        <v>0</v>
      </c>
      <c r="BK859" s="48"/>
      <c r="BL859" s="44">
        <v>41</v>
      </c>
      <c r="BM859" s="79">
        <f t="shared" si="98"/>
        <v>0</v>
      </c>
      <c r="BN859" s="75"/>
      <c r="BO859" s="75"/>
    </row>
    <row r="860" spans="1:70" s="4" customFormat="1" ht="31.2" x14ac:dyDescent="0.3">
      <c r="A860" s="48">
        <v>145</v>
      </c>
      <c r="B860" s="42" t="s">
        <v>306</v>
      </c>
      <c r="C860" s="48" t="s">
        <v>29</v>
      </c>
      <c r="D860" s="39">
        <v>0.27</v>
      </c>
      <c r="E860" s="39"/>
      <c r="F860" s="39">
        <v>0.27</v>
      </c>
      <c r="G860" s="39"/>
      <c r="H860" s="39"/>
      <c r="I860" s="39"/>
      <c r="J860" s="39">
        <f t="shared" si="101"/>
        <v>0.27</v>
      </c>
      <c r="K860" s="42" t="s">
        <v>324</v>
      </c>
      <c r="L860" s="42" t="s">
        <v>294</v>
      </c>
      <c r="M860" s="43">
        <v>16</v>
      </c>
      <c r="N860" s="210">
        <v>693</v>
      </c>
      <c r="O860" s="43"/>
      <c r="P860" s="84"/>
      <c r="Q860" s="84"/>
      <c r="R860" s="84"/>
      <c r="S860" s="84"/>
      <c r="T860" s="84"/>
      <c r="U860" s="84"/>
      <c r="V860" s="84"/>
      <c r="W860" s="84"/>
      <c r="X860" s="84"/>
      <c r="Y860" s="84"/>
      <c r="Z860" s="48"/>
      <c r="AA860" s="48"/>
      <c r="AB860" s="48"/>
      <c r="AC860" s="48"/>
      <c r="AD860" s="48"/>
      <c r="AE860" s="48"/>
      <c r="AF860" s="48"/>
      <c r="AG860" s="48"/>
      <c r="AH860" s="48"/>
      <c r="AI860" s="48"/>
      <c r="AJ860" s="48"/>
      <c r="AK860" s="48"/>
      <c r="AL860" s="48"/>
      <c r="AM860" s="48"/>
      <c r="AN860" s="48"/>
      <c r="AO860" s="48">
        <v>0.27</v>
      </c>
      <c r="AP860" s="48"/>
      <c r="AQ860" s="48"/>
      <c r="AR860" s="48"/>
      <c r="AS860" s="48"/>
      <c r="AT860" s="48"/>
      <c r="AU860" s="48"/>
      <c r="AV860" s="48"/>
      <c r="AW860" s="48"/>
      <c r="AX860" s="48"/>
      <c r="AY860" s="48"/>
      <c r="AZ860" s="48"/>
      <c r="BA860" s="48"/>
      <c r="BB860" s="48"/>
      <c r="BC860" s="48"/>
      <c r="BD860" s="48"/>
      <c r="BE860" s="48"/>
      <c r="BF860" s="48"/>
      <c r="BG860" s="48"/>
      <c r="BH860" s="48"/>
      <c r="BI860" s="48"/>
      <c r="BJ860" s="78">
        <f t="shared" si="97"/>
        <v>0</v>
      </c>
      <c r="BK860" s="84"/>
      <c r="BL860" s="44">
        <v>41</v>
      </c>
      <c r="BM860" s="79">
        <f t="shared" si="98"/>
        <v>0</v>
      </c>
      <c r="BN860" s="75"/>
      <c r="BO860" s="75"/>
    </row>
    <row r="861" spans="1:70" s="4" customFormat="1" x14ac:dyDescent="0.3">
      <c r="A861" s="48">
        <v>146</v>
      </c>
      <c r="B861" s="42" t="s">
        <v>306</v>
      </c>
      <c r="C861" s="48" t="s">
        <v>29</v>
      </c>
      <c r="D861" s="39">
        <f>1.45</f>
        <v>1.45</v>
      </c>
      <c r="E861" s="39"/>
      <c r="F861" s="39">
        <f>1.45</f>
        <v>1.45</v>
      </c>
      <c r="G861" s="39">
        <v>1.45</v>
      </c>
      <c r="H861" s="39"/>
      <c r="I861" s="39"/>
      <c r="J861" s="39">
        <f t="shared" si="101"/>
        <v>0</v>
      </c>
      <c r="K861" s="42" t="s">
        <v>298</v>
      </c>
      <c r="L861" s="42" t="s">
        <v>294</v>
      </c>
      <c r="M861" s="43">
        <v>17</v>
      </c>
      <c r="N861" s="210">
        <v>694</v>
      </c>
      <c r="O861" s="43"/>
      <c r="P861" s="84"/>
      <c r="Q861" s="84"/>
      <c r="R861" s="84"/>
      <c r="S861" s="84"/>
      <c r="T861" s="84"/>
      <c r="U861" s="84"/>
      <c r="V861" s="84"/>
      <c r="W861" s="84"/>
      <c r="X861" s="84"/>
      <c r="Y861" s="84"/>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78">
        <f t="shared" si="97"/>
        <v>0</v>
      </c>
      <c r="BK861" s="84"/>
      <c r="BL861" s="44">
        <v>41</v>
      </c>
      <c r="BM861" s="79">
        <f t="shared" si="98"/>
        <v>0</v>
      </c>
      <c r="BN861" s="75"/>
      <c r="BO861" s="75"/>
    </row>
    <row r="862" spans="1:70" s="4" customFormat="1" ht="46.8" x14ac:dyDescent="0.3">
      <c r="A862" s="48">
        <v>147</v>
      </c>
      <c r="B862" s="42" t="s">
        <v>306</v>
      </c>
      <c r="C862" s="48" t="s">
        <v>29</v>
      </c>
      <c r="D862" s="39">
        <f>0.18+0.15+0.58</f>
        <v>0.90999999999999992</v>
      </c>
      <c r="E862" s="39"/>
      <c r="F862" s="39">
        <f>0.18+0.15+0.58</f>
        <v>0.90999999999999992</v>
      </c>
      <c r="G862" s="39">
        <v>0.91</v>
      </c>
      <c r="H862" s="39"/>
      <c r="I862" s="39"/>
      <c r="J862" s="39">
        <f t="shared" si="101"/>
        <v>0</v>
      </c>
      <c r="K862" s="42" t="s">
        <v>325</v>
      </c>
      <c r="L862" s="42" t="s">
        <v>294</v>
      </c>
      <c r="M862" s="43">
        <v>18</v>
      </c>
      <c r="N862" s="210">
        <v>695</v>
      </c>
      <c r="O862" s="43"/>
      <c r="P862" s="84"/>
      <c r="Q862" s="84"/>
      <c r="R862" s="84"/>
      <c r="S862" s="84"/>
      <c r="T862" s="84"/>
      <c r="U862" s="84"/>
      <c r="V862" s="84"/>
      <c r="W862" s="84"/>
      <c r="X862" s="84"/>
      <c r="Y862" s="84"/>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78">
        <f t="shared" si="97"/>
        <v>0</v>
      </c>
      <c r="BK862" s="84"/>
      <c r="BL862" s="44">
        <v>41</v>
      </c>
      <c r="BM862" s="79">
        <f t="shared" si="98"/>
        <v>0</v>
      </c>
      <c r="BN862" s="75"/>
      <c r="BO862" s="75"/>
    </row>
    <row r="863" spans="1:70" s="4" customFormat="1" ht="31.2" x14ac:dyDescent="0.3">
      <c r="A863" s="48">
        <v>148</v>
      </c>
      <c r="B863" s="42" t="s">
        <v>306</v>
      </c>
      <c r="C863" s="48" t="s">
        <v>29</v>
      </c>
      <c r="D863" s="39">
        <v>7.76</v>
      </c>
      <c r="E863" s="39"/>
      <c r="F863" s="39">
        <v>7.76</v>
      </c>
      <c r="G863" s="39">
        <v>7.76</v>
      </c>
      <c r="H863" s="39"/>
      <c r="I863" s="39"/>
      <c r="J863" s="39">
        <f t="shared" si="101"/>
        <v>0</v>
      </c>
      <c r="K863" s="42" t="s">
        <v>326</v>
      </c>
      <c r="L863" s="42" t="s">
        <v>294</v>
      </c>
      <c r="M863" s="44">
        <v>19</v>
      </c>
      <c r="N863" s="209">
        <v>696</v>
      </c>
      <c r="O863" s="44"/>
      <c r="P863" s="84"/>
      <c r="Q863" s="84"/>
      <c r="R863" s="84"/>
      <c r="S863" s="84"/>
      <c r="T863" s="84"/>
      <c r="U863" s="84"/>
      <c r="V863" s="84"/>
      <c r="W863" s="84"/>
      <c r="X863" s="84"/>
      <c r="Y863" s="84"/>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c r="BI863" s="48"/>
      <c r="BJ863" s="78">
        <f t="shared" si="97"/>
        <v>0</v>
      </c>
      <c r="BK863" s="84"/>
      <c r="BL863" s="44">
        <v>41</v>
      </c>
      <c r="BM863" s="79">
        <f t="shared" si="98"/>
        <v>0</v>
      </c>
      <c r="BN863" s="75"/>
      <c r="BO863" s="75"/>
    </row>
    <row r="864" spans="1:70" s="4" customFormat="1" ht="31.2" x14ac:dyDescent="0.3">
      <c r="A864" s="48">
        <v>149</v>
      </c>
      <c r="B864" s="42" t="s">
        <v>306</v>
      </c>
      <c r="C864" s="48" t="s">
        <v>29</v>
      </c>
      <c r="D864" s="39">
        <f>2.09</f>
        <v>2.09</v>
      </c>
      <c r="E864" s="39"/>
      <c r="F864" s="39">
        <f>2.09</f>
        <v>2.09</v>
      </c>
      <c r="G864" s="39">
        <f>2.09-0.34</f>
        <v>1.7499999999999998</v>
      </c>
      <c r="H864" s="39"/>
      <c r="I864" s="39"/>
      <c r="J864" s="39">
        <f t="shared" si="101"/>
        <v>0.34</v>
      </c>
      <c r="K864" s="42" t="s">
        <v>327</v>
      </c>
      <c r="L864" s="42" t="s">
        <v>294</v>
      </c>
      <c r="M864" s="44">
        <v>20</v>
      </c>
      <c r="N864" s="209">
        <v>697</v>
      </c>
      <c r="O864" s="44"/>
      <c r="P864" s="84"/>
      <c r="Q864" s="84"/>
      <c r="R864" s="84"/>
      <c r="S864" s="84"/>
      <c r="T864" s="84"/>
      <c r="U864" s="84"/>
      <c r="V864" s="84"/>
      <c r="W864" s="84"/>
      <c r="X864" s="84"/>
      <c r="Y864" s="84"/>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f>0.05+0.04+0.04+0.07+0.06+0.08</f>
        <v>0.34</v>
      </c>
      <c r="BE864" s="48"/>
      <c r="BF864" s="48"/>
      <c r="BG864" s="48"/>
      <c r="BH864" s="48"/>
      <c r="BI864" s="48"/>
      <c r="BJ864" s="78">
        <f t="shared" si="97"/>
        <v>0</v>
      </c>
      <c r="BK864" s="84"/>
      <c r="BL864" s="44">
        <v>41</v>
      </c>
      <c r="BM864" s="79">
        <f t="shared" si="98"/>
        <v>0</v>
      </c>
      <c r="BN864" s="75"/>
      <c r="BO864" s="75"/>
    </row>
    <row r="865" spans="1:67" s="4" customFormat="1" x14ac:dyDescent="0.3">
      <c r="A865" s="48">
        <v>150</v>
      </c>
      <c r="B865" s="42" t="s">
        <v>306</v>
      </c>
      <c r="C865" s="48" t="s">
        <v>29</v>
      </c>
      <c r="D865" s="39">
        <f>1.56</f>
        <v>1.56</v>
      </c>
      <c r="E865" s="39"/>
      <c r="F865" s="39">
        <f>1.56</f>
        <v>1.56</v>
      </c>
      <c r="G865" s="39">
        <f>1.56</f>
        <v>1.56</v>
      </c>
      <c r="H865" s="39"/>
      <c r="I865" s="39"/>
      <c r="J865" s="39">
        <f t="shared" si="101"/>
        <v>0</v>
      </c>
      <c r="K865" s="42" t="s">
        <v>328</v>
      </c>
      <c r="L865" s="42" t="s">
        <v>294</v>
      </c>
      <c r="M865" s="44">
        <v>21</v>
      </c>
      <c r="N865" s="209">
        <v>698</v>
      </c>
      <c r="O865" s="44"/>
      <c r="P865" s="84"/>
      <c r="Q865" s="84"/>
      <c r="R865" s="84"/>
      <c r="S865" s="84"/>
      <c r="T865" s="84"/>
      <c r="U865" s="84"/>
      <c r="V865" s="84"/>
      <c r="W865" s="84"/>
      <c r="X865" s="84"/>
      <c r="Y865" s="84"/>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78">
        <f t="shared" si="97"/>
        <v>0</v>
      </c>
      <c r="BK865" s="84"/>
      <c r="BL865" s="44">
        <v>41</v>
      </c>
      <c r="BM865" s="79">
        <f t="shared" si="98"/>
        <v>0</v>
      </c>
      <c r="BN865" s="75"/>
      <c r="BO865" s="75"/>
    </row>
    <row r="866" spans="1:67" s="4" customFormat="1" ht="46.8" x14ac:dyDescent="0.3">
      <c r="A866" s="48">
        <v>151</v>
      </c>
      <c r="B866" s="42" t="s">
        <v>306</v>
      </c>
      <c r="C866" s="48" t="s">
        <v>29</v>
      </c>
      <c r="D866" s="39">
        <v>3.25</v>
      </c>
      <c r="E866" s="39"/>
      <c r="F866" s="39">
        <v>3.25</v>
      </c>
      <c r="G866" s="39">
        <v>3.25</v>
      </c>
      <c r="H866" s="39"/>
      <c r="I866" s="39"/>
      <c r="J866" s="39">
        <f t="shared" si="101"/>
        <v>0</v>
      </c>
      <c r="K866" s="42" t="s">
        <v>329</v>
      </c>
      <c r="L866" s="42" t="s">
        <v>294</v>
      </c>
      <c r="M866" s="44">
        <v>23</v>
      </c>
      <c r="N866" s="209">
        <v>699</v>
      </c>
      <c r="O866" s="44"/>
      <c r="P866" s="84"/>
      <c r="Q866" s="84"/>
      <c r="R866" s="84"/>
      <c r="S866" s="84"/>
      <c r="T866" s="84"/>
      <c r="U866" s="84"/>
      <c r="V866" s="84"/>
      <c r="W866" s="84"/>
      <c r="X866" s="84"/>
      <c r="Y866" s="84"/>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78">
        <f t="shared" si="97"/>
        <v>0</v>
      </c>
      <c r="BK866" s="84"/>
      <c r="BL866" s="44">
        <v>41</v>
      </c>
      <c r="BM866" s="79">
        <f t="shared" si="98"/>
        <v>0</v>
      </c>
      <c r="BN866" s="75"/>
      <c r="BO866" s="75"/>
    </row>
    <row r="867" spans="1:67" s="4" customFormat="1" x14ac:dyDescent="0.3">
      <c r="A867" s="48">
        <v>152</v>
      </c>
      <c r="B867" s="42" t="s">
        <v>306</v>
      </c>
      <c r="C867" s="48" t="s">
        <v>29</v>
      </c>
      <c r="D867" s="39">
        <f>2.16</f>
        <v>2.16</v>
      </c>
      <c r="E867" s="39"/>
      <c r="F867" s="39">
        <f>2.16</f>
        <v>2.16</v>
      </c>
      <c r="G867" s="39">
        <f>2.16-0.15</f>
        <v>2.0100000000000002</v>
      </c>
      <c r="H867" s="39"/>
      <c r="I867" s="39"/>
      <c r="J867" s="39">
        <f t="shared" si="101"/>
        <v>0.15</v>
      </c>
      <c r="K867" s="42" t="s">
        <v>330</v>
      </c>
      <c r="L867" s="42" t="s">
        <v>294</v>
      </c>
      <c r="M867" s="44">
        <v>24</v>
      </c>
      <c r="N867" s="209">
        <v>700</v>
      </c>
      <c r="O867" s="44"/>
      <c r="P867" s="84"/>
      <c r="Q867" s="84"/>
      <c r="R867" s="84"/>
      <c r="S867" s="84"/>
      <c r="T867" s="84"/>
      <c r="U867" s="84"/>
      <c r="V867" s="84"/>
      <c r="W867" s="84"/>
      <c r="X867" s="84"/>
      <c r="Y867" s="84"/>
      <c r="Z867" s="48"/>
      <c r="AA867" s="48"/>
      <c r="AB867" s="48">
        <f>0.15</f>
        <v>0.15</v>
      </c>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c r="BI867" s="48"/>
      <c r="BJ867" s="78">
        <f t="shared" si="97"/>
        <v>0</v>
      </c>
      <c r="BK867" s="84"/>
      <c r="BL867" s="44">
        <v>41</v>
      </c>
      <c r="BM867" s="79">
        <f t="shared" si="98"/>
        <v>0</v>
      </c>
      <c r="BN867" s="75"/>
      <c r="BO867" s="75"/>
    </row>
    <row r="868" spans="1:67" s="4" customFormat="1" ht="31.2" x14ac:dyDescent="0.3">
      <c r="A868" s="48">
        <v>153</v>
      </c>
      <c r="B868" s="42" t="s">
        <v>306</v>
      </c>
      <c r="C868" s="48" t="s">
        <v>29</v>
      </c>
      <c r="D868" s="39">
        <v>2.86</v>
      </c>
      <c r="E868" s="39"/>
      <c r="F868" s="39">
        <v>2.86</v>
      </c>
      <c r="G868" s="39">
        <v>2.76</v>
      </c>
      <c r="H868" s="39"/>
      <c r="I868" s="39"/>
      <c r="J868" s="39">
        <f t="shared" si="101"/>
        <v>0.1</v>
      </c>
      <c r="K868" s="42" t="s">
        <v>331</v>
      </c>
      <c r="L868" s="42" t="s">
        <v>294</v>
      </c>
      <c r="M868" s="44">
        <v>25</v>
      </c>
      <c r="N868" s="209">
        <v>701</v>
      </c>
      <c r="O868" s="44"/>
      <c r="P868" s="84"/>
      <c r="Q868" s="84"/>
      <c r="R868" s="84"/>
      <c r="S868" s="84"/>
      <c r="T868" s="84"/>
      <c r="U868" s="84"/>
      <c r="V868" s="84"/>
      <c r="W868" s="84"/>
      <c r="X868" s="84"/>
      <c r="Y868" s="84"/>
      <c r="Z868" s="48"/>
      <c r="AA868" s="48">
        <v>0.1</v>
      </c>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c r="BI868" s="48"/>
      <c r="BJ868" s="78">
        <f t="shared" si="97"/>
        <v>0</v>
      </c>
      <c r="BK868" s="84"/>
      <c r="BL868" s="44">
        <v>41</v>
      </c>
      <c r="BM868" s="79">
        <f t="shared" si="98"/>
        <v>0</v>
      </c>
      <c r="BN868" s="75"/>
      <c r="BO868" s="75"/>
    </row>
    <row r="869" spans="1:67" s="4" customFormat="1" ht="31.2" x14ac:dyDescent="0.3">
      <c r="A869" s="48">
        <v>154</v>
      </c>
      <c r="B869" s="42" t="s">
        <v>306</v>
      </c>
      <c r="C869" s="48" t="s">
        <v>29</v>
      </c>
      <c r="D869" s="39">
        <f>7.61</f>
        <v>7.61</v>
      </c>
      <c r="E869" s="39"/>
      <c r="F869" s="39">
        <f>7.61</f>
        <v>7.61</v>
      </c>
      <c r="G869" s="39">
        <f>7.61</f>
        <v>7.61</v>
      </c>
      <c r="H869" s="39"/>
      <c r="I869" s="39"/>
      <c r="J869" s="39">
        <f t="shared" si="101"/>
        <v>0</v>
      </c>
      <c r="K869" s="42" t="s">
        <v>332</v>
      </c>
      <c r="L869" s="42" t="s">
        <v>294</v>
      </c>
      <c r="M869" s="44">
        <v>26</v>
      </c>
      <c r="N869" s="209">
        <v>702</v>
      </c>
      <c r="O869" s="44"/>
      <c r="P869" s="84"/>
      <c r="Q869" s="84"/>
      <c r="R869" s="84"/>
      <c r="S869" s="84"/>
      <c r="T869" s="84"/>
      <c r="U869" s="84"/>
      <c r="V869" s="84"/>
      <c r="W869" s="84"/>
      <c r="X869" s="84"/>
      <c r="Y869" s="84"/>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c r="BG869" s="48"/>
      <c r="BH869" s="48"/>
      <c r="BI869" s="48"/>
      <c r="BJ869" s="78">
        <f t="shared" si="97"/>
        <v>0</v>
      </c>
      <c r="BK869" s="84"/>
      <c r="BL869" s="44">
        <v>41</v>
      </c>
      <c r="BM869" s="79">
        <f t="shared" si="98"/>
        <v>0</v>
      </c>
      <c r="BN869" s="75"/>
      <c r="BO869" s="75"/>
    </row>
    <row r="870" spans="1:67" s="4" customFormat="1" x14ac:dyDescent="0.3">
      <c r="A870" s="48">
        <v>155</v>
      </c>
      <c r="B870" s="42" t="s">
        <v>306</v>
      </c>
      <c r="C870" s="48" t="s">
        <v>29</v>
      </c>
      <c r="D870" s="39">
        <f>0.51+2.15</f>
        <v>2.66</v>
      </c>
      <c r="E870" s="39"/>
      <c r="F870" s="39">
        <f>0.51+2.15</f>
        <v>2.66</v>
      </c>
      <c r="G870" s="39">
        <f>2.66-1.36</f>
        <v>1.3</v>
      </c>
      <c r="H870" s="39"/>
      <c r="I870" s="39"/>
      <c r="J870" s="39">
        <f t="shared" si="101"/>
        <v>1.3599999999999999</v>
      </c>
      <c r="K870" s="42" t="s">
        <v>333</v>
      </c>
      <c r="L870" s="42" t="s">
        <v>294</v>
      </c>
      <c r="M870" s="44">
        <v>27</v>
      </c>
      <c r="N870" s="209">
        <v>703</v>
      </c>
      <c r="O870" s="44"/>
      <c r="P870" s="84"/>
      <c r="Q870" s="84"/>
      <c r="R870" s="84"/>
      <c r="S870" s="84"/>
      <c r="T870" s="84"/>
      <c r="U870" s="84"/>
      <c r="V870" s="84"/>
      <c r="W870" s="84"/>
      <c r="X870" s="84"/>
      <c r="Y870" s="84"/>
      <c r="Z870" s="48"/>
      <c r="AA870" s="48"/>
      <c r="AB870" s="48">
        <v>0.61</v>
      </c>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v>0.75</v>
      </c>
      <c r="BF870" s="48"/>
      <c r="BG870" s="48"/>
      <c r="BH870" s="48"/>
      <c r="BI870" s="48"/>
      <c r="BJ870" s="78">
        <f t="shared" si="97"/>
        <v>0</v>
      </c>
      <c r="BK870" s="84"/>
      <c r="BL870" s="44">
        <v>41</v>
      </c>
      <c r="BM870" s="79">
        <f t="shared" si="98"/>
        <v>0</v>
      </c>
      <c r="BN870" s="75"/>
      <c r="BO870" s="75"/>
    </row>
    <row r="871" spans="1:67" s="4" customFormat="1" x14ac:dyDescent="0.3">
      <c r="A871" s="48">
        <v>156</v>
      </c>
      <c r="B871" s="42" t="s">
        <v>306</v>
      </c>
      <c r="C871" s="48" t="s">
        <v>29</v>
      </c>
      <c r="D871" s="39">
        <f>3.52+0.69+1.28</f>
        <v>5.49</v>
      </c>
      <c r="E871" s="39"/>
      <c r="F871" s="39">
        <v>5.49</v>
      </c>
      <c r="G871" s="39">
        <f>3.42+0.69+1.28-0.5</f>
        <v>4.8899999999999997</v>
      </c>
      <c r="H871" s="39"/>
      <c r="I871" s="39"/>
      <c r="J871" s="39">
        <f t="shared" si="101"/>
        <v>0.6</v>
      </c>
      <c r="K871" s="42" t="s">
        <v>334</v>
      </c>
      <c r="L871" s="42" t="s">
        <v>294</v>
      </c>
      <c r="M871" s="44">
        <v>28</v>
      </c>
      <c r="N871" s="209">
        <v>704</v>
      </c>
      <c r="O871" s="44"/>
      <c r="P871" s="84"/>
      <c r="Q871" s="84"/>
      <c r="R871" s="84"/>
      <c r="S871" s="84"/>
      <c r="T871" s="84"/>
      <c r="U871" s="84"/>
      <c r="V871" s="84"/>
      <c r="W871" s="84"/>
      <c r="X871" s="84"/>
      <c r="Y871" s="84"/>
      <c r="Z871" s="48"/>
      <c r="AA871" s="48"/>
      <c r="AB871" s="48"/>
      <c r="AC871" s="48"/>
      <c r="AD871" s="48"/>
      <c r="AE871" s="48"/>
      <c r="AF871" s="48"/>
      <c r="AG871" s="48"/>
      <c r="AH871" s="48"/>
      <c r="AI871" s="48"/>
      <c r="AJ871" s="48"/>
      <c r="AK871" s="48"/>
      <c r="AL871" s="48"/>
      <c r="AM871" s="48"/>
      <c r="AN871" s="48"/>
      <c r="AO871" s="48"/>
      <c r="AP871" s="48"/>
      <c r="AQ871" s="48">
        <v>0.5</v>
      </c>
      <c r="AR871" s="48"/>
      <c r="AS871" s="48"/>
      <c r="AT871" s="48"/>
      <c r="AU871" s="48"/>
      <c r="AV871" s="48"/>
      <c r="AW871" s="48"/>
      <c r="AX871" s="48"/>
      <c r="AY871" s="48"/>
      <c r="AZ871" s="48"/>
      <c r="BA871" s="48"/>
      <c r="BB871" s="48"/>
      <c r="BC871" s="48"/>
      <c r="BD871" s="48"/>
      <c r="BE871" s="48">
        <v>0.1</v>
      </c>
      <c r="BF871" s="48"/>
      <c r="BG871" s="48"/>
      <c r="BH871" s="48"/>
      <c r="BI871" s="48"/>
      <c r="BJ871" s="78">
        <f t="shared" si="97"/>
        <v>0</v>
      </c>
      <c r="BK871" s="84"/>
      <c r="BL871" s="44">
        <v>41</v>
      </c>
      <c r="BM871" s="79">
        <f t="shared" si="98"/>
        <v>0</v>
      </c>
      <c r="BN871" s="75"/>
      <c r="BO871" s="75"/>
    </row>
    <row r="872" spans="1:67" s="4" customFormat="1" ht="31.2" x14ac:dyDescent="0.3">
      <c r="A872" s="48">
        <v>157</v>
      </c>
      <c r="B872" s="42" t="s">
        <v>306</v>
      </c>
      <c r="C872" s="48" t="s">
        <v>29</v>
      </c>
      <c r="D872" s="39">
        <v>0.38</v>
      </c>
      <c r="E872" s="39"/>
      <c r="F872" s="39">
        <v>0.38</v>
      </c>
      <c r="G872" s="39">
        <v>0.38</v>
      </c>
      <c r="H872" s="39"/>
      <c r="I872" s="39"/>
      <c r="J872" s="39">
        <f t="shared" si="101"/>
        <v>0</v>
      </c>
      <c r="K872" s="42" t="s">
        <v>335</v>
      </c>
      <c r="L872" s="42" t="s">
        <v>294</v>
      </c>
      <c r="M872" s="44">
        <v>29</v>
      </c>
      <c r="N872" s="209">
        <v>705</v>
      </c>
      <c r="O872" s="44"/>
      <c r="P872" s="84"/>
      <c r="Q872" s="84"/>
      <c r="R872" s="84"/>
      <c r="S872" s="84"/>
      <c r="T872" s="84"/>
      <c r="U872" s="84"/>
      <c r="V872" s="84"/>
      <c r="W872" s="84"/>
      <c r="X872" s="84"/>
      <c r="Y872" s="84"/>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c r="BI872" s="48"/>
      <c r="BJ872" s="78">
        <f t="shared" si="97"/>
        <v>0</v>
      </c>
      <c r="BK872" s="84"/>
      <c r="BL872" s="44">
        <v>41</v>
      </c>
      <c r="BM872" s="79">
        <f t="shared" si="98"/>
        <v>0</v>
      </c>
      <c r="BN872" s="75"/>
      <c r="BO872" s="75"/>
    </row>
    <row r="873" spans="1:67" s="4" customFormat="1" ht="31.2" x14ac:dyDescent="0.3">
      <c r="A873" s="48">
        <v>158</v>
      </c>
      <c r="B873" s="42" t="s">
        <v>306</v>
      </c>
      <c r="C873" s="48" t="s">
        <v>29</v>
      </c>
      <c r="D873" s="39">
        <f>0.66</f>
        <v>0.66</v>
      </c>
      <c r="E873" s="39"/>
      <c r="F873" s="39">
        <f>0.66</f>
        <v>0.66</v>
      </c>
      <c r="G873" s="39">
        <f>0.66-0.12</f>
        <v>0.54</v>
      </c>
      <c r="H873" s="39"/>
      <c r="I873" s="39"/>
      <c r="J873" s="39">
        <f t="shared" si="101"/>
        <v>0.12</v>
      </c>
      <c r="K873" s="42" t="s">
        <v>336</v>
      </c>
      <c r="L873" s="42" t="s">
        <v>294</v>
      </c>
      <c r="M873" s="44">
        <v>30</v>
      </c>
      <c r="N873" s="209">
        <v>706</v>
      </c>
      <c r="O873" s="44"/>
      <c r="P873" s="84"/>
      <c r="Q873" s="84"/>
      <c r="R873" s="84"/>
      <c r="S873" s="84"/>
      <c r="T873" s="84"/>
      <c r="U873" s="84"/>
      <c r="V873" s="84"/>
      <c r="W873" s="84"/>
      <c r="X873" s="84"/>
      <c r="Y873" s="84"/>
      <c r="Z873" s="48">
        <v>0.12</v>
      </c>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c r="BG873" s="48"/>
      <c r="BH873" s="48"/>
      <c r="BI873" s="48"/>
      <c r="BJ873" s="78">
        <f t="shared" si="97"/>
        <v>0</v>
      </c>
      <c r="BK873" s="84"/>
      <c r="BL873" s="44">
        <v>41</v>
      </c>
      <c r="BM873" s="79">
        <f t="shared" si="98"/>
        <v>0</v>
      </c>
      <c r="BN873" s="75"/>
      <c r="BO873" s="75"/>
    </row>
    <row r="874" spans="1:67" s="4" customFormat="1" ht="31.2" x14ac:dyDescent="0.3">
      <c r="A874" s="48">
        <v>159</v>
      </c>
      <c r="B874" s="42" t="s">
        <v>352</v>
      </c>
      <c r="C874" s="48" t="s">
        <v>29</v>
      </c>
      <c r="D874" s="41">
        <v>2</v>
      </c>
      <c r="E874" s="39"/>
      <c r="F874" s="41">
        <v>2</v>
      </c>
      <c r="G874" s="41"/>
      <c r="H874" s="41"/>
      <c r="I874" s="39"/>
      <c r="J874" s="107">
        <v>2</v>
      </c>
      <c r="K874" s="42" t="s">
        <v>711</v>
      </c>
      <c r="L874" s="42" t="s">
        <v>294</v>
      </c>
      <c r="M874" s="44" t="s">
        <v>672</v>
      </c>
      <c r="N874" s="209">
        <v>707</v>
      </c>
      <c r="O874" s="44"/>
      <c r="P874" s="84"/>
      <c r="Q874" s="84"/>
      <c r="R874" s="84"/>
      <c r="S874" s="84"/>
      <c r="T874" s="84"/>
      <c r="U874" s="84"/>
      <c r="V874" s="84"/>
      <c r="W874" s="84"/>
      <c r="X874" s="84"/>
      <c r="Y874" s="84"/>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v>2</v>
      </c>
      <c r="BF874" s="48"/>
      <c r="BG874" s="48"/>
      <c r="BH874" s="48"/>
      <c r="BI874" s="48"/>
      <c r="BJ874" s="78">
        <f t="shared" ref="BJ874:BJ939" si="102">D874-E874-F874</f>
        <v>0</v>
      </c>
      <c r="BK874" s="84"/>
      <c r="BL874" s="44">
        <v>41</v>
      </c>
      <c r="BM874" s="79">
        <f t="shared" si="98"/>
        <v>0</v>
      </c>
      <c r="BN874" s="75"/>
      <c r="BO874" s="75"/>
    </row>
    <row r="875" spans="1:67" s="56" customFormat="1" ht="31.2" x14ac:dyDescent="0.3">
      <c r="A875" s="219">
        <v>160</v>
      </c>
      <c r="B875" s="42" t="s">
        <v>337</v>
      </c>
      <c r="C875" s="48" t="s">
        <v>29</v>
      </c>
      <c r="D875" s="39">
        <f>28.14+3.19</f>
        <v>31.330000000000002</v>
      </c>
      <c r="E875" s="39"/>
      <c r="F875" s="39">
        <f>28.14+3.19</f>
        <v>31.330000000000002</v>
      </c>
      <c r="G875" s="39">
        <f>25.55+2.05</f>
        <v>27.6</v>
      </c>
      <c r="H875" s="39"/>
      <c r="I875" s="39"/>
      <c r="J875" s="39">
        <f>SUM(Z875:BG875)</f>
        <v>3.7299999999999995</v>
      </c>
      <c r="K875" s="42"/>
      <c r="L875" s="42" t="s">
        <v>708</v>
      </c>
      <c r="M875" s="49" t="s">
        <v>1073</v>
      </c>
      <c r="N875" s="208">
        <v>708</v>
      </c>
      <c r="O875" s="44"/>
      <c r="P875" s="84"/>
      <c r="Q875" s="84"/>
      <c r="R875" s="84"/>
      <c r="S875" s="84"/>
      <c r="T875" s="84"/>
      <c r="U875" s="84"/>
      <c r="V875" s="84"/>
      <c r="W875" s="84"/>
      <c r="X875" s="84"/>
      <c r="Y875" s="84"/>
      <c r="Z875" s="48">
        <v>0.05</v>
      </c>
      <c r="AA875" s="48"/>
      <c r="AB875" s="48"/>
      <c r="AC875" s="48"/>
      <c r="AD875" s="48"/>
      <c r="AE875" s="48">
        <v>0.12</v>
      </c>
      <c r="AF875" s="48"/>
      <c r="AG875" s="48"/>
      <c r="AH875" s="48"/>
      <c r="AI875" s="48"/>
      <c r="AJ875" s="48"/>
      <c r="AK875" s="48"/>
      <c r="AL875" s="48"/>
      <c r="AM875" s="48"/>
      <c r="AN875" s="48"/>
      <c r="AO875" s="48"/>
      <c r="AP875" s="48"/>
      <c r="AQ875" s="48">
        <f>2.59+0.97</f>
        <v>3.5599999999999996</v>
      </c>
      <c r="AR875" s="48"/>
      <c r="AS875" s="48"/>
      <c r="AT875" s="48"/>
      <c r="AU875" s="48"/>
      <c r="AV875" s="48"/>
      <c r="AW875" s="48"/>
      <c r="AX875" s="48"/>
      <c r="AY875" s="48"/>
      <c r="AZ875" s="48"/>
      <c r="BA875" s="48"/>
      <c r="BB875" s="48"/>
      <c r="BC875" s="48"/>
      <c r="BD875" s="48"/>
      <c r="BE875" s="48"/>
      <c r="BF875" s="48"/>
      <c r="BG875" s="48"/>
      <c r="BH875" s="48"/>
      <c r="BI875" s="48"/>
      <c r="BJ875" s="78">
        <f t="shared" si="102"/>
        <v>0</v>
      </c>
      <c r="BK875" s="84"/>
      <c r="BL875" s="44">
        <v>41</v>
      </c>
      <c r="BM875" s="79">
        <f t="shared" si="98"/>
        <v>0</v>
      </c>
      <c r="BN875" s="75"/>
      <c r="BO875" s="75"/>
    </row>
    <row r="876" spans="1:67" s="14" customFormat="1" ht="46.8" x14ac:dyDescent="0.3">
      <c r="A876" s="220"/>
      <c r="B876" s="129" t="s">
        <v>1244</v>
      </c>
      <c r="C876" s="127" t="s">
        <v>29</v>
      </c>
      <c r="D876" s="134">
        <v>28.14</v>
      </c>
      <c r="E876" s="134"/>
      <c r="F876" s="134">
        <v>28.14</v>
      </c>
      <c r="G876" s="134">
        <v>25.55</v>
      </c>
      <c r="H876" s="134"/>
      <c r="I876" s="134"/>
      <c r="J876" s="134">
        <f t="shared" ref="J876" si="103">SUM(Y876:BF876)</f>
        <v>2.59</v>
      </c>
      <c r="K876" s="154"/>
      <c r="L876" s="54" t="s">
        <v>294</v>
      </c>
      <c r="M876" s="202">
        <v>54</v>
      </c>
      <c r="N876" s="203"/>
      <c r="O876" s="203"/>
      <c r="P876" s="93"/>
      <c r="Q876" s="93"/>
      <c r="R876" s="93"/>
      <c r="S876" s="93"/>
      <c r="T876" s="93"/>
      <c r="U876" s="93"/>
      <c r="V876" s="93"/>
      <c r="W876" s="93"/>
      <c r="X876" s="93"/>
      <c r="Y876" s="133"/>
      <c r="Z876" s="133"/>
      <c r="AA876" s="133"/>
      <c r="AB876" s="133"/>
      <c r="AC876" s="133"/>
      <c r="AD876" s="133"/>
      <c r="AE876" s="133"/>
      <c r="AF876" s="133"/>
      <c r="AG876" s="133"/>
      <c r="AH876" s="133"/>
      <c r="AI876" s="133"/>
      <c r="AJ876" s="133"/>
      <c r="AK876" s="133"/>
      <c r="AL876" s="133"/>
      <c r="AM876" s="133"/>
      <c r="AN876" s="133"/>
      <c r="AO876" s="133"/>
      <c r="AP876" s="133"/>
      <c r="AQ876" s="133">
        <v>2.59</v>
      </c>
      <c r="AR876" s="133"/>
      <c r="AS876" s="133"/>
      <c r="AT876" s="133"/>
      <c r="AU876" s="133"/>
      <c r="AV876" s="133"/>
      <c r="AW876" s="133"/>
      <c r="AX876" s="133"/>
      <c r="AY876" s="133"/>
      <c r="AZ876" s="133"/>
      <c r="BA876" s="133"/>
      <c r="BB876" s="133"/>
      <c r="BC876" s="133"/>
      <c r="BD876" s="133"/>
      <c r="BE876" s="133"/>
      <c r="BF876" s="133"/>
      <c r="BG876" s="133"/>
      <c r="BH876" s="133"/>
      <c r="BI876" s="134"/>
      <c r="BJ876" s="204"/>
      <c r="BK876" s="84"/>
      <c r="BL876" s="44"/>
      <c r="BM876" s="79">
        <f t="shared" si="98"/>
        <v>0</v>
      </c>
      <c r="BN876" s="75"/>
      <c r="BO876" s="75"/>
    </row>
    <row r="877" spans="1:67" s="14" customFormat="1" ht="46.8" x14ac:dyDescent="0.3">
      <c r="A877" s="221"/>
      <c r="B877" s="129" t="s">
        <v>1245</v>
      </c>
      <c r="C877" s="133" t="s">
        <v>29</v>
      </c>
      <c r="D877" s="53">
        <f>2.67+0.52</f>
        <v>3.19</v>
      </c>
      <c r="E877" s="53"/>
      <c r="F877" s="53">
        <v>3.19</v>
      </c>
      <c r="G877" s="133">
        <f>3.19-1.14</f>
        <v>2.0499999999999998</v>
      </c>
      <c r="H877" s="127"/>
      <c r="I877" s="127"/>
      <c r="J877" s="127">
        <f>0.05+0.12+0.97</f>
        <v>1.1399999999999999</v>
      </c>
      <c r="K877" s="53"/>
      <c r="L877" s="54" t="s">
        <v>261</v>
      </c>
      <c r="M877" s="53">
        <v>34</v>
      </c>
      <c r="N877" s="53"/>
      <c r="O877" s="53"/>
      <c r="P877" s="93"/>
      <c r="Q877" s="93"/>
      <c r="R877" s="93"/>
      <c r="S877" s="93"/>
      <c r="T877" s="93"/>
      <c r="U877" s="93"/>
      <c r="V877" s="93"/>
      <c r="W877" s="93"/>
      <c r="X877" s="93"/>
      <c r="Y877" s="93"/>
      <c r="Z877" s="93">
        <v>0.05</v>
      </c>
      <c r="AA877" s="93"/>
      <c r="AB877" s="93"/>
      <c r="AC877" s="93"/>
      <c r="AD877" s="93"/>
      <c r="AE877" s="93">
        <v>0.12</v>
      </c>
      <c r="AF877" s="93"/>
      <c r="AG877" s="128"/>
      <c r="AH877" s="93"/>
      <c r="AI877" s="93"/>
      <c r="AJ877" s="93"/>
      <c r="AK877" s="93"/>
      <c r="AL877" s="93"/>
      <c r="AM877" s="93"/>
      <c r="AN877" s="93"/>
      <c r="AO877" s="93"/>
      <c r="AP877" s="93"/>
      <c r="AQ877" s="93">
        <f>0.77+0.2</f>
        <v>0.97</v>
      </c>
      <c r="AR877" s="93"/>
      <c r="AS877" s="93"/>
      <c r="AT877" s="93"/>
      <c r="AU877" s="93"/>
      <c r="AV877" s="93"/>
      <c r="AW877" s="93"/>
      <c r="AX877" s="93"/>
      <c r="AY877" s="93"/>
      <c r="AZ877" s="93"/>
      <c r="BA877" s="93"/>
      <c r="BB877" s="93"/>
      <c r="BC877" s="93"/>
      <c r="BD877" s="93"/>
      <c r="BE877" s="93"/>
      <c r="BF877" s="93"/>
      <c r="BG877" s="93"/>
      <c r="BH877" s="48"/>
      <c r="BI877" s="48"/>
      <c r="BJ877" s="78"/>
      <c r="BK877" s="84"/>
      <c r="BL877" s="44"/>
      <c r="BM877" s="79">
        <f t="shared" si="98"/>
        <v>0</v>
      </c>
      <c r="BN877" s="75"/>
      <c r="BO877" s="75"/>
    </row>
    <row r="878" spans="1:67" s="4" customFormat="1" x14ac:dyDescent="0.3">
      <c r="A878" s="48">
        <v>161</v>
      </c>
      <c r="B878" s="42" t="s">
        <v>306</v>
      </c>
      <c r="C878" s="48" t="s">
        <v>29</v>
      </c>
      <c r="D878" s="41">
        <f>1.07+2.03+0.13+0.43+0.03+0.29+1.05</f>
        <v>5.0299999999999994</v>
      </c>
      <c r="E878" s="41"/>
      <c r="F878" s="41">
        <f>3.69+0.29+1.05</f>
        <v>5.03</v>
      </c>
      <c r="G878" s="39">
        <f>3.1+0.14+1.05</f>
        <v>4.29</v>
      </c>
      <c r="H878" s="39"/>
      <c r="I878" s="39"/>
      <c r="J878" s="39">
        <f t="shared" ref="J878:J884" si="104">SUM(V878:BG878)</f>
        <v>0.74</v>
      </c>
      <c r="K878" s="42" t="s">
        <v>370</v>
      </c>
      <c r="L878" s="42" t="s">
        <v>364</v>
      </c>
      <c r="M878" s="44">
        <v>2</v>
      </c>
      <c r="N878" s="209">
        <v>709</v>
      </c>
      <c r="O878" s="44"/>
      <c r="P878" s="39"/>
      <c r="Q878" s="39"/>
      <c r="R878" s="39"/>
      <c r="S878" s="39"/>
      <c r="T878" s="39"/>
      <c r="U878" s="39"/>
      <c r="V878" s="39"/>
      <c r="W878" s="39"/>
      <c r="X878" s="39"/>
      <c r="Y878" s="39"/>
      <c r="Z878" s="39">
        <f>0.03+0.15</f>
        <v>0.18</v>
      </c>
      <c r="AA878" s="39"/>
      <c r="AB878" s="39"/>
      <c r="AC878" s="39"/>
      <c r="AD878" s="39"/>
      <c r="AE878" s="39"/>
      <c r="AF878" s="39"/>
      <c r="AG878" s="39"/>
      <c r="AH878" s="39"/>
      <c r="AI878" s="39"/>
      <c r="AJ878" s="39"/>
      <c r="AK878" s="39"/>
      <c r="AL878" s="39"/>
      <c r="AM878" s="39"/>
      <c r="AN878" s="39"/>
      <c r="AO878" s="39">
        <v>0.43</v>
      </c>
      <c r="AP878" s="39"/>
      <c r="AQ878" s="39"/>
      <c r="AR878" s="39"/>
      <c r="AS878" s="39"/>
      <c r="AT878" s="39"/>
      <c r="AU878" s="39"/>
      <c r="AV878" s="39"/>
      <c r="AW878" s="39">
        <v>0.13</v>
      </c>
      <c r="AX878" s="39"/>
      <c r="AY878" s="39"/>
      <c r="AZ878" s="39"/>
      <c r="BA878" s="39"/>
      <c r="BB878" s="39"/>
      <c r="BC878" s="39"/>
      <c r="BD878" s="39"/>
      <c r="BE878" s="39"/>
      <c r="BF878" s="39"/>
      <c r="BG878" s="39"/>
      <c r="BH878" s="39"/>
      <c r="BI878" s="39"/>
      <c r="BJ878" s="78">
        <f t="shared" si="102"/>
        <v>0</v>
      </c>
      <c r="BK878" s="84"/>
      <c r="BL878" s="44">
        <v>41</v>
      </c>
      <c r="BM878" s="79">
        <f t="shared" si="98"/>
        <v>0</v>
      </c>
      <c r="BN878" s="75"/>
      <c r="BO878" s="75"/>
    </row>
    <row r="879" spans="1:67" s="4" customFormat="1" x14ac:dyDescent="0.3">
      <c r="A879" s="48">
        <v>162</v>
      </c>
      <c r="B879" s="42" t="s">
        <v>306</v>
      </c>
      <c r="C879" s="48" t="s">
        <v>29</v>
      </c>
      <c r="D879" s="41">
        <v>5.7</v>
      </c>
      <c r="E879" s="41"/>
      <c r="F879" s="41">
        <v>5.7</v>
      </c>
      <c r="G879" s="39">
        <v>5.7</v>
      </c>
      <c r="H879" s="39"/>
      <c r="I879" s="39"/>
      <c r="J879" s="39">
        <f t="shared" si="104"/>
        <v>0</v>
      </c>
      <c r="K879" s="42" t="s">
        <v>371</v>
      </c>
      <c r="L879" s="42" t="s">
        <v>364</v>
      </c>
      <c r="M879" s="44">
        <v>3</v>
      </c>
      <c r="N879" s="209">
        <v>710</v>
      </c>
      <c r="O879" s="44"/>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78">
        <f t="shared" si="102"/>
        <v>0</v>
      </c>
      <c r="BK879" s="84"/>
      <c r="BL879" s="44">
        <v>41</v>
      </c>
      <c r="BM879" s="79">
        <f t="shared" si="98"/>
        <v>0</v>
      </c>
      <c r="BN879" s="75"/>
      <c r="BO879" s="75"/>
    </row>
    <row r="880" spans="1:67" s="4" customFormat="1" x14ac:dyDescent="0.3">
      <c r="A880" s="48">
        <v>163</v>
      </c>
      <c r="B880" s="42" t="s">
        <v>306</v>
      </c>
      <c r="C880" s="48" t="s">
        <v>29</v>
      </c>
      <c r="D880" s="41">
        <f>0.87+3.17+1.13+1.09+0.47+3.34</f>
        <v>10.07</v>
      </c>
      <c r="E880" s="41"/>
      <c r="F880" s="41">
        <v>10.07</v>
      </c>
      <c r="G880" s="39">
        <f>3.17+1.13-0.3</f>
        <v>4</v>
      </c>
      <c r="H880" s="39"/>
      <c r="I880" s="39"/>
      <c r="J880" s="39">
        <f t="shared" si="104"/>
        <v>6.0699999999999994</v>
      </c>
      <c r="K880" s="42" t="s">
        <v>363</v>
      </c>
      <c r="L880" s="42" t="s">
        <v>364</v>
      </c>
      <c r="M880" s="44">
        <v>4</v>
      </c>
      <c r="N880" s="209">
        <v>711</v>
      </c>
      <c r="O880" s="44"/>
      <c r="P880" s="39"/>
      <c r="Q880" s="39"/>
      <c r="R880" s="39"/>
      <c r="S880" s="39"/>
      <c r="T880" s="39"/>
      <c r="U880" s="39"/>
      <c r="V880" s="39"/>
      <c r="W880" s="39"/>
      <c r="X880" s="39"/>
      <c r="Y880" s="39"/>
      <c r="Z880" s="39">
        <f>0.87+0.3+1.09+0.3+3.34</f>
        <v>5.8999999999999995</v>
      </c>
      <c r="AA880" s="39"/>
      <c r="AB880" s="39"/>
      <c r="AC880" s="39"/>
      <c r="AD880" s="39"/>
      <c r="AE880" s="39"/>
      <c r="AF880" s="39"/>
      <c r="AG880" s="39"/>
      <c r="AH880" s="39"/>
      <c r="AI880" s="39"/>
      <c r="AJ880" s="39"/>
      <c r="AK880" s="39"/>
      <c r="AL880" s="39"/>
      <c r="AM880" s="39"/>
      <c r="AN880" s="39"/>
      <c r="AO880" s="39">
        <v>0.17</v>
      </c>
      <c r="AP880" s="39"/>
      <c r="AQ880" s="39"/>
      <c r="AR880" s="39"/>
      <c r="AS880" s="39"/>
      <c r="AT880" s="39"/>
      <c r="AU880" s="39"/>
      <c r="AV880" s="39"/>
      <c r="AW880" s="39"/>
      <c r="AX880" s="39"/>
      <c r="AY880" s="39"/>
      <c r="AZ880" s="39"/>
      <c r="BA880" s="39"/>
      <c r="BB880" s="39"/>
      <c r="BC880" s="39"/>
      <c r="BD880" s="39"/>
      <c r="BE880" s="39"/>
      <c r="BF880" s="39"/>
      <c r="BG880" s="39"/>
      <c r="BH880" s="39"/>
      <c r="BI880" s="39"/>
      <c r="BJ880" s="78">
        <f t="shared" si="102"/>
        <v>0</v>
      </c>
      <c r="BK880" s="84"/>
      <c r="BL880" s="44">
        <v>41</v>
      </c>
      <c r="BM880" s="79">
        <f t="shared" si="98"/>
        <v>0</v>
      </c>
      <c r="BN880" s="75"/>
      <c r="BO880" s="75"/>
    </row>
    <row r="881" spans="1:67" s="4" customFormat="1" x14ac:dyDescent="0.3">
      <c r="A881" s="48">
        <v>164</v>
      </c>
      <c r="B881" s="42" t="s">
        <v>306</v>
      </c>
      <c r="C881" s="48" t="s">
        <v>29</v>
      </c>
      <c r="D881" s="39">
        <f>2+1.35+0.22+0.1+0.18</f>
        <v>3.8500000000000005</v>
      </c>
      <c r="E881" s="39"/>
      <c r="F881" s="39">
        <v>3.85</v>
      </c>
      <c r="G881" s="39">
        <f>0.63+0.1+0.53+0.05+1.41+0.1+0.18</f>
        <v>3</v>
      </c>
      <c r="H881" s="39"/>
      <c r="I881" s="39"/>
      <c r="J881" s="39">
        <f t="shared" si="104"/>
        <v>0.85</v>
      </c>
      <c r="K881" s="42" t="s">
        <v>372</v>
      </c>
      <c r="L881" s="42" t="s">
        <v>364</v>
      </c>
      <c r="M881" s="44">
        <v>5</v>
      </c>
      <c r="N881" s="209">
        <v>712</v>
      </c>
      <c r="O881" s="44"/>
      <c r="P881" s="39"/>
      <c r="Q881" s="39"/>
      <c r="R881" s="39"/>
      <c r="S881" s="39"/>
      <c r="T881" s="39"/>
      <c r="U881" s="39"/>
      <c r="V881" s="39"/>
      <c r="W881" s="39"/>
      <c r="X881" s="39"/>
      <c r="Y881" s="39"/>
      <c r="Z881" s="39">
        <f>2-1.31+0.11</f>
        <v>0.79999999999999993</v>
      </c>
      <c r="AA881" s="39">
        <v>0.05</v>
      </c>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78">
        <f t="shared" si="102"/>
        <v>0</v>
      </c>
      <c r="BK881" s="84"/>
      <c r="BL881" s="44">
        <v>41</v>
      </c>
      <c r="BM881" s="79">
        <f t="shared" si="98"/>
        <v>0</v>
      </c>
      <c r="BN881" s="75"/>
      <c r="BO881" s="75"/>
    </row>
    <row r="882" spans="1:67" s="4" customFormat="1" x14ac:dyDescent="0.3">
      <c r="A882" s="48">
        <v>165</v>
      </c>
      <c r="B882" s="42" t="s">
        <v>306</v>
      </c>
      <c r="C882" s="48" t="s">
        <v>29</v>
      </c>
      <c r="D882" s="39">
        <f>3.47+0.23+0.53+0.71+0.48+1.22+0.75+2.2</f>
        <v>9.59</v>
      </c>
      <c r="E882" s="39"/>
      <c r="F882" s="39">
        <f>4.23+0.71+0.48+1.22+0.75+2.2</f>
        <v>9.59</v>
      </c>
      <c r="G882" s="39"/>
      <c r="H882" s="39"/>
      <c r="I882" s="39"/>
      <c r="J882" s="39">
        <f t="shared" si="104"/>
        <v>9.5900000000000016</v>
      </c>
      <c r="K882" s="42" t="s">
        <v>373</v>
      </c>
      <c r="L882" s="42" t="s">
        <v>364</v>
      </c>
      <c r="M882" s="44">
        <v>6</v>
      </c>
      <c r="N882" s="209">
        <v>713</v>
      </c>
      <c r="O882" s="44"/>
      <c r="P882" s="39"/>
      <c r="Q882" s="39"/>
      <c r="R882" s="39"/>
      <c r="S882" s="39"/>
      <c r="T882" s="39"/>
      <c r="U882" s="39"/>
      <c r="V882" s="39"/>
      <c r="W882" s="39"/>
      <c r="X882" s="39">
        <f>1.88+0.53+0.71+0.75+2.2-0.58-0.33</f>
        <v>5.16</v>
      </c>
      <c r="Y882" s="39"/>
      <c r="Z882" s="39">
        <f>3.7-2.11+0.48+1.22+0.58</f>
        <v>3.87</v>
      </c>
      <c r="AA882" s="39">
        <v>0.23</v>
      </c>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v>0.33</v>
      </c>
      <c r="BF882" s="39"/>
      <c r="BG882" s="39"/>
      <c r="BH882" s="39"/>
      <c r="BI882" s="39"/>
      <c r="BJ882" s="78">
        <f t="shared" si="102"/>
        <v>0</v>
      </c>
      <c r="BK882" s="84"/>
      <c r="BL882" s="44">
        <v>41</v>
      </c>
      <c r="BM882" s="79">
        <f t="shared" si="98"/>
        <v>0</v>
      </c>
      <c r="BN882" s="75"/>
      <c r="BO882" s="75"/>
    </row>
    <row r="883" spans="1:67" s="4" customFormat="1" ht="31.2" x14ac:dyDescent="0.3">
      <c r="A883" s="48">
        <v>166</v>
      </c>
      <c r="B883" s="42" t="s">
        <v>352</v>
      </c>
      <c r="C883" s="48" t="s">
        <v>29</v>
      </c>
      <c r="D883" s="39">
        <f>1.29+0.9</f>
        <v>2.19</v>
      </c>
      <c r="E883" s="39"/>
      <c r="F883" s="39">
        <v>2.19</v>
      </c>
      <c r="G883" s="39">
        <f>2.19-1.18</f>
        <v>1.01</v>
      </c>
      <c r="H883" s="39"/>
      <c r="I883" s="39"/>
      <c r="J883" s="39">
        <f t="shared" si="104"/>
        <v>1.18</v>
      </c>
      <c r="K883" s="92" t="s">
        <v>111</v>
      </c>
      <c r="L883" s="42" t="s">
        <v>364</v>
      </c>
      <c r="M883" s="43">
        <v>14</v>
      </c>
      <c r="N883" s="210">
        <v>714</v>
      </c>
      <c r="O883" s="43"/>
      <c r="P883" s="39"/>
      <c r="Q883" s="39"/>
      <c r="R883" s="39"/>
      <c r="S883" s="39"/>
      <c r="T883" s="39"/>
      <c r="U883" s="39"/>
      <c r="V883" s="39"/>
      <c r="W883" s="39"/>
      <c r="X883" s="39">
        <f>0.9-0.32</f>
        <v>0.58000000000000007</v>
      </c>
      <c r="Y883" s="39"/>
      <c r="Z883" s="39"/>
      <c r="AA883" s="39">
        <v>0.08</v>
      </c>
      <c r="AB883" s="39"/>
      <c r="AC883" s="39"/>
      <c r="AD883" s="39"/>
      <c r="AE883" s="39"/>
      <c r="AF883" s="39"/>
      <c r="AG883" s="39"/>
      <c r="AH883" s="39"/>
      <c r="AI883" s="39"/>
      <c r="AJ883" s="39"/>
      <c r="AK883" s="39"/>
      <c r="AL883" s="39"/>
      <c r="AM883" s="39"/>
      <c r="AN883" s="39"/>
      <c r="AO883" s="39">
        <v>0.28000000000000003</v>
      </c>
      <c r="AP883" s="39"/>
      <c r="AQ883" s="39"/>
      <c r="AR883" s="39"/>
      <c r="AS883" s="39"/>
      <c r="AT883" s="39"/>
      <c r="AU883" s="39"/>
      <c r="AV883" s="39"/>
      <c r="AW883" s="39"/>
      <c r="AX883" s="39"/>
      <c r="AY883" s="39"/>
      <c r="AZ883" s="39"/>
      <c r="BA883" s="39"/>
      <c r="BB883" s="39"/>
      <c r="BC883" s="39"/>
      <c r="BD883" s="39">
        <v>0.08</v>
      </c>
      <c r="BE883" s="39">
        <v>0.16</v>
      </c>
      <c r="BF883" s="39"/>
      <c r="BG883" s="39"/>
      <c r="BH883" s="39"/>
      <c r="BI883" s="39"/>
      <c r="BJ883" s="78">
        <f t="shared" si="102"/>
        <v>0</v>
      </c>
      <c r="BK883" s="84"/>
      <c r="BL883" s="44">
        <v>41</v>
      </c>
      <c r="BM883" s="79">
        <f t="shared" si="98"/>
        <v>0</v>
      </c>
      <c r="BN883" s="75"/>
      <c r="BO883" s="75"/>
    </row>
    <row r="884" spans="1:67" s="4" customFormat="1" x14ac:dyDescent="0.3">
      <c r="A884" s="48">
        <v>167</v>
      </c>
      <c r="B884" s="42" t="s">
        <v>306</v>
      </c>
      <c r="C884" s="48" t="s">
        <v>29</v>
      </c>
      <c r="D884" s="39">
        <v>4.5999999999999996</v>
      </c>
      <c r="E884" s="39"/>
      <c r="F884" s="39">
        <v>4.5999999999999996</v>
      </c>
      <c r="G884" s="39">
        <v>4.5999999999999996</v>
      </c>
      <c r="H884" s="39"/>
      <c r="I884" s="39"/>
      <c r="J884" s="39">
        <f t="shared" si="104"/>
        <v>0</v>
      </c>
      <c r="K884" s="42" t="s">
        <v>374</v>
      </c>
      <c r="L884" s="42" t="s">
        <v>364</v>
      </c>
      <c r="M884" s="43">
        <v>15</v>
      </c>
      <c r="N884" s="210">
        <v>715</v>
      </c>
      <c r="O884" s="43"/>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78">
        <f t="shared" si="102"/>
        <v>0</v>
      </c>
      <c r="BK884" s="84"/>
      <c r="BL884" s="44">
        <v>41</v>
      </c>
      <c r="BM884" s="79">
        <f t="shared" si="98"/>
        <v>0</v>
      </c>
      <c r="BN884" s="75"/>
      <c r="BO884" s="75"/>
    </row>
    <row r="885" spans="1:67" s="4" customFormat="1" ht="46.8" x14ac:dyDescent="0.3">
      <c r="A885" s="48">
        <v>168</v>
      </c>
      <c r="B885" s="42" t="s">
        <v>306</v>
      </c>
      <c r="C885" s="48" t="s">
        <v>29</v>
      </c>
      <c r="D885" s="39">
        <v>2.2400000000000002</v>
      </c>
      <c r="E885" s="39"/>
      <c r="F885" s="39">
        <v>2.2400000000000002</v>
      </c>
      <c r="G885" s="39">
        <v>2.2400000000000002</v>
      </c>
      <c r="H885" s="39"/>
      <c r="I885" s="39"/>
      <c r="J885" s="39">
        <f t="shared" ref="J885:J892" si="105">SUM(Z885:BG885)</f>
        <v>0</v>
      </c>
      <c r="K885" s="42" t="s">
        <v>385</v>
      </c>
      <c r="L885" s="42" t="s">
        <v>377</v>
      </c>
      <c r="M885" s="44">
        <v>15</v>
      </c>
      <c r="N885" s="209">
        <v>716</v>
      </c>
      <c r="O885" s="4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L885" s="84"/>
      <c r="AM885" s="84"/>
      <c r="AN885" s="84"/>
      <c r="AO885" s="84"/>
      <c r="AP885" s="84"/>
      <c r="AQ885" s="84"/>
      <c r="AR885" s="84"/>
      <c r="AS885" s="84"/>
      <c r="AT885" s="84"/>
      <c r="AU885" s="84"/>
      <c r="AV885" s="84"/>
      <c r="AW885" s="84"/>
      <c r="AX885" s="84"/>
      <c r="AY885" s="84"/>
      <c r="AZ885" s="84"/>
      <c r="BA885" s="84"/>
      <c r="BB885" s="84"/>
      <c r="BC885" s="84"/>
      <c r="BD885" s="84"/>
      <c r="BE885" s="84"/>
      <c r="BF885" s="84"/>
      <c r="BG885" s="84"/>
      <c r="BH885" s="84"/>
      <c r="BI885" s="84"/>
      <c r="BJ885" s="78">
        <f t="shared" si="102"/>
        <v>0</v>
      </c>
      <c r="BK885" s="84"/>
      <c r="BL885" s="44">
        <v>41</v>
      </c>
      <c r="BM885" s="79">
        <f t="shared" si="98"/>
        <v>0</v>
      </c>
      <c r="BN885" s="75"/>
      <c r="BO885" s="75"/>
    </row>
    <row r="886" spans="1:67" s="4" customFormat="1" ht="46.8" x14ac:dyDescent="0.3">
      <c r="A886" s="48">
        <v>169</v>
      </c>
      <c r="B886" s="42" t="s">
        <v>306</v>
      </c>
      <c r="C886" s="48" t="s">
        <v>29</v>
      </c>
      <c r="D886" s="39">
        <f>4.52+1.92</f>
        <v>6.4399999999999995</v>
      </c>
      <c r="E886" s="39"/>
      <c r="F886" s="39">
        <v>6.44</v>
      </c>
      <c r="G886" s="39">
        <f>4.52-0.6+1.92</f>
        <v>5.84</v>
      </c>
      <c r="H886" s="39"/>
      <c r="I886" s="39"/>
      <c r="J886" s="39">
        <f t="shared" si="105"/>
        <v>0.6</v>
      </c>
      <c r="K886" s="42" t="s">
        <v>386</v>
      </c>
      <c r="L886" s="42" t="s">
        <v>377</v>
      </c>
      <c r="M886" s="44">
        <v>17</v>
      </c>
      <c r="N886" s="209">
        <v>717</v>
      </c>
      <c r="O886" s="44"/>
      <c r="P886" s="84"/>
      <c r="Q886" s="84"/>
      <c r="R886" s="84"/>
      <c r="S886" s="84"/>
      <c r="T886" s="84"/>
      <c r="U886" s="84"/>
      <c r="V886" s="84"/>
      <c r="W886" s="84"/>
      <c r="X886" s="84"/>
      <c r="Y886" s="84"/>
      <c r="Z886" s="84">
        <v>0.6</v>
      </c>
      <c r="AA886" s="84"/>
      <c r="AB886" s="84"/>
      <c r="AC886" s="84"/>
      <c r="AD886" s="84"/>
      <c r="AE886" s="84"/>
      <c r="AF886" s="84"/>
      <c r="AG886" s="84"/>
      <c r="AH886" s="84"/>
      <c r="AI886" s="84"/>
      <c r="AJ886" s="84"/>
      <c r="AK886" s="84"/>
      <c r="AL886" s="84"/>
      <c r="AM886" s="84"/>
      <c r="AN886" s="84"/>
      <c r="AO886" s="84"/>
      <c r="AP886" s="84"/>
      <c r="AQ886" s="84"/>
      <c r="AR886" s="84"/>
      <c r="AS886" s="84"/>
      <c r="AT886" s="84"/>
      <c r="AU886" s="84"/>
      <c r="AV886" s="84"/>
      <c r="AW886" s="84"/>
      <c r="AX886" s="84"/>
      <c r="AY886" s="84"/>
      <c r="AZ886" s="84"/>
      <c r="BA886" s="84"/>
      <c r="BB886" s="84"/>
      <c r="BC886" s="84"/>
      <c r="BD886" s="84"/>
      <c r="BE886" s="84"/>
      <c r="BF886" s="84"/>
      <c r="BG886" s="84"/>
      <c r="BH886" s="84"/>
      <c r="BI886" s="84"/>
      <c r="BJ886" s="78">
        <f t="shared" si="102"/>
        <v>0</v>
      </c>
      <c r="BK886" s="84"/>
      <c r="BL886" s="44">
        <v>41</v>
      </c>
      <c r="BM886" s="79">
        <f t="shared" si="98"/>
        <v>0</v>
      </c>
      <c r="BN886" s="75"/>
      <c r="BO886" s="75"/>
    </row>
    <row r="887" spans="1:67" s="4" customFormat="1" x14ac:dyDescent="0.3">
      <c r="A887" s="48">
        <v>170</v>
      </c>
      <c r="B887" s="42" t="s">
        <v>306</v>
      </c>
      <c r="C887" s="48" t="s">
        <v>29</v>
      </c>
      <c r="D887" s="39">
        <f>1.32+0.51+3.26+2.07</f>
        <v>7.16</v>
      </c>
      <c r="E887" s="39"/>
      <c r="F887" s="39">
        <v>7.16</v>
      </c>
      <c r="G887" s="39">
        <f>1.38+0.22+2.07-2.23</f>
        <v>1.44</v>
      </c>
      <c r="H887" s="39"/>
      <c r="I887" s="39"/>
      <c r="J887" s="39">
        <f t="shared" si="105"/>
        <v>5.7200000000000006</v>
      </c>
      <c r="K887" s="92" t="s">
        <v>1083</v>
      </c>
      <c r="L887" s="42" t="s">
        <v>377</v>
      </c>
      <c r="M887" s="44">
        <v>18</v>
      </c>
      <c r="N887" s="209">
        <v>718</v>
      </c>
      <c r="O887" s="44"/>
      <c r="P887" s="84"/>
      <c r="Q887" s="84"/>
      <c r="R887" s="84"/>
      <c r="S887" s="84"/>
      <c r="T887" s="84"/>
      <c r="U887" s="84"/>
      <c r="V887" s="84"/>
      <c r="W887" s="84"/>
      <c r="X887" s="84"/>
      <c r="Y887" s="84"/>
      <c r="Z887" s="84">
        <f>0.34+0.11+3.66</f>
        <v>4.1100000000000003</v>
      </c>
      <c r="AA887" s="84">
        <f>0.15+0.51-0.08+0.2</f>
        <v>0.78</v>
      </c>
      <c r="AB887" s="84"/>
      <c r="AC887" s="84"/>
      <c r="AD887" s="84"/>
      <c r="AE887" s="84"/>
      <c r="AF887" s="84"/>
      <c r="AG887" s="84"/>
      <c r="AH887" s="84"/>
      <c r="AI887" s="84"/>
      <c r="AJ887" s="84"/>
      <c r="AK887" s="84"/>
      <c r="AL887" s="84"/>
      <c r="AM887" s="84"/>
      <c r="AN887" s="84"/>
      <c r="AO887" s="84">
        <v>0.08</v>
      </c>
      <c r="AP887" s="84"/>
      <c r="AQ887" s="84"/>
      <c r="AR887" s="84"/>
      <c r="AS887" s="84"/>
      <c r="AT887" s="84"/>
      <c r="AU887" s="84"/>
      <c r="AV887" s="84"/>
      <c r="AW887" s="84"/>
      <c r="AX887" s="84"/>
      <c r="AY887" s="84"/>
      <c r="AZ887" s="84"/>
      <c r="BA887" s="84"/>
      <c r="BB887" s="84"/>
      <c r="BC887" s="84"/>
      <c r="BD887" s="84"/>
      <c r="BE887" s="84">
        <f>0.27+0.48</f>
        <v>0.75</v>
      </c>
      <c r="BF887" s="84"/>
      <c r="BG887" s="84"/>
      <c r="BH887" s="84"/>
      <c r="BI887" s="84"/>
      <c r="BJ887" s="78">
        <f t="shared" si="102"/>
        <v>0</v>
      </c>
      <c r="BK887" s="84"/>
      <c r="BL887" s="44">
        <v>41</v>
      </c>
      <c r="BM887" s="79">
        <f t="shared" si="98"/>
        <v>0</v>
      </c>
      <c r="BN887" s="75"/>
      <c r="BO887" s="75"/>
    </row>
    <row r="888" spans="1:67" s="4" customFormat="1" ht="46.8" x14ac:dyDescent="0.3">
      <c r="A888" s="48">
        <v>171</v>
      </c>
      <c r="B888" s="42" t="s">
        <v>306</v>
      </c>
      <c r="C888" s="48" t="s">
        <v>29</v>
      </c>
      <c r="D888" s="39">
        <f>2.77+1.53+0.2</f>
        <v>4.5</v>
      </c>
      <c r="E888" s="39"/>
      <c r="F888" s="39">
        <v>4.5</v>
      </c>
      <c r="G888" s="39">
        <v>4.5</v>
      </c>
      <c r="H888" s="39"/>
      <c r="I888" s="39"/>
      <c r="J888" s="39">
        <f t="shared" si="105"/>
        <v>0</v>
      </c>
      <c r="K888" s="42" t="s">
        <v>387</v>
      </c>
      <c r="L888" s="42" t="s">
        <v>377</v>
      </c>
      <c r="M888" s="44">
        <v>19</v>
      </c>
      <c r="N888" s="209">
        <v>719</v>
      </c>
      <c r="O888" s="4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L888" s="84"/>
      <c r="AM888" s="84"/>
      <c r="AN888" s="84"/>
      <c r="AO888" s="84"/>
      <c r="AP888" s="84"/>
      <c r="AQ888" s="84"/>
      <c r="AR888" s="84"/>
      <c r="AS888" s="84"/>
      <c r="AT888" s="84"/>
      <c r="AU888" s="84"/>
      <c r="AV888" s="84"/>
      <c r="AW888" s="84"/>
      <c r="AX888" s="84"/>
      <c r="AY888" s="84"/>
      <c r="AZ888" s="84"/>
      <c r="BA888" s="84"/>
      <c r="BB888" s="84"/>
      <c r="BC888" s="84"/>
      <c r="BD888" s="84"/>
      <c r="BE888" s="84"/>
      <c r="BF888" s="84"/>
      <c r="BG888" s="84"/>
      <c r="BH888" s="84"/>
      <c r="BI888" s="84"/>
      <c r="BJ888" s="78">
        <f t="shared" si="102"/>
        <v>0</v>
      </c>
      <c r="BK888" s="84"/>
      <c r="BL888" s="44">
        <v>41</v>
      </c>
      <c r="BM888" s="79">
        <f t="shared" si="98"/>
        <v>0</v>
      </c>
      <c r="BN888" s="75"/>
      <c r="BO888" s="75"/>
    </row>
    <row r="889" spans="1:67" s="4" customFormat="1" ht="46.8" x14ac:dyDescent="0.3">
      <c r="A889" s="48">
        <v>172</v>
      </c>
      <c r="B889" s="42" t="s">
        <v>306</v>
      </c>
      <c r="C889" s="48" t="s">
        <v>29</v>
      </c>
      <c r="D889" s="39">
        <v>9.3699999999999992</v>
      </c>
      <c r="E889" s="39"/>
      <c r="F889" s="39">
        <v>9.3699999999999992</v>
      </c>
      <c r="G889" s="39">
        <f>0.61+1.01+0.66+0.32+0.03+0.11+0.14+0.17+0.14+0.06+2.98+0.11+0.18+0.25</f>
        <v>6.7700000000000005</v>
      </c>
      <c r="H889" s="39"/>
      <c r="I889" s="39"/>
      <c r="J889" s="39">
        <f t="shared" si="105"/>
        <v>2.6</v>
      </c>
      <c r="K889" s="42" t="s">
        <v>388</v>
      </c>
      <c r="L889" s="42" t="s">
        <v>377</v>
      </c>
      <c r="M889" s="44">
        <v>20</v>
      </c>
      <c r="N889" s="209">
        <v>720</v>
      </c>
      <c r="O889" s="44"/>
      <c r="P889" s="84"/>
      <c r="Q889" s="84"/>
      <c r="R889" s="84"/>
      <c r="S889" s="84"/>
      <c r="T889" s="84"/>
      <c r="U889" s="84"/>
      <c r="V889" s="84"/>
      <c r="W889" s="84"/>
      <c r="X889" s="84"/>
      <c r="Y889" s="84"/>
      <c r="Z889" s="84">
        <v>2.23</v>
      </c>
      <c r="AA889" s="84"/>
      <c r="AB889" s="84"/>
      <c r="AC889" s="84"/>
      <c r="AD889" s="84"/>
      <c r="AE889" s="84"/>
      <c r="AF889" s="84"/>
      <c r="AG889" s="84"/>
      <c r="AH889" s="84"/>
      <c r="AI889" s="84"/>
      <c r="AJ889" s="84"/>
      <c r="AK889" s="84"/>
      <c r="AL889" s="84"/>
      <c r="AM889" s="84"/>
      <c r="AN889" s="84"/>
      <c r="AO889" s="84"/>
      <c r="AP889" s="84"/>
      <c r="AQ889" s="84"/>
      <c r="AR889" s="84"/>
      <c r="AS889" s="84"/>
      <c r="AT889" s="84"/>
      <c r="AU889" s="84"/>
      <c r="AV889" s="84"/>
      <c r="AW889" s="84"/>
      <c r="AX889" s="84"/>
      <c r="AY889" s="84"/>
      <c r="AZ889" s="84"/>
      <c r="BA889" s="84"/>
      <c r="BB889" s="84"/>
      <c r="BC889" s="84"/>
      <c r="BD889" s="84"/>
      <c r="BE889" s="84">
        <f>0.1+0.1+0.07+0.1</f>
        <v>0.37</v>
      </c>
      <c r="BF889" s="84"/>
      <c r="BG889" s="84"/>
      <c r="BH889" s="84"/>
      <c r="BI889" s="84"/>
      <c r="BJ889" s="78">
        <f t="shared" si="102"/>
        <v>0</v>
      </c>
      <c r="BK889" s="84"/>
      <c r="BL889" s="44">
        <v>41</v>
      </c>
      <c r="BM889" s="79">
        <f t="shared" si="98"/>
        <v>0</v>
      </c>
      <c r="BN889" s="75"/>
      <c r="BO889" s="75"/>
    </row>
    <row r="890" spans="1:67" s="4" customFormat="1" x14ac:dyDescent="0.3">
      <c r="A890" s="48">
        <v>173</v>
      </c>
      <c r="B890" s="42" t="s">
        <v>306</v>
      </c>
      <c r="C890" s="48" t="s">
        <v>29</v>
      </c>
      <c r="D890" s="39">
        <f>0.38+2.34+1.67+0.22+0.45</f>
        <v>5.0599999999999996</v>
      </c>
      <c r="E890" s="39"/>
      <c r="F890" s="39">
        <f>0.38+2.34+1.67+0.22+0.45</f>
        <v>5.0599999999999996</v>
      </c>
      <c r="G890" s="39">
        <f>0.09+0.22</f>
        <v>0.31</v>
      </c>
      <c r="H890" s="39"/>
      <c r="I890" s="39"/>
      <c r="J890" s="39">
        <f t="shared" si="105"/>
        <v>4.7499999999999991</v>
      </c>
      <c r="K890" s="42" t="s">
        <v>380</v>
      </c>
      <c r="L890" s="42" t="s">
        <v>377</v>
      </c>
      <c r="M890" s="44">
        <v>21</v>
      </c>
      <c r="N890" s="209">
        <v>721</v>
      </c>
      <c r="O890" s="44"/>
      <c r="P890" s="84"/>
      <c r="Q890" s="84"/>
      <c r="R890" s="84"/>
      <c r="S890" s="84"/>
      <c r="T890" s="84"/>
      <c r="U890" s="84"/>
      <c r="V890" s="84"/>
      <c r="W890" s="84"/>
      <c r="X890" s="84"/>
      <c r="Y890" s="84"/>
      <c r="Z890" s="84">
        <f>2.34+1.67</f>
        <v>4.01</v>
      </c>
      <c r="AA890" s="84">
        <f>0.2+0.09+0.23</f>
        <v>0.52</v>
      </c>
      <c r="AB890" s="84">
        <v>0.04</v>
      </c>
      <c r="AC890" s="84"/>
      <c r="AD890" s="84"/>
      <c r="AE890" s="84"/>
      <c r="AF890" s="84"/>
      <c r="AG890" s="84"/>
      <c r="AH890" s="84"/>
      <c r="AI890" s="84"/>
      <c r="AJ890" s="84"/>
      <c r="AK890" s="84"/>
      <c r="AL890" s="84"/>
      <c r="AM890" s="84"/>
      <c r="AN890" s="84"/>
      <c r="AO890" s="84"/>
      <c r="AP890" s="84"/>
      <c r="AQ890" s="84"/>
      <c r="AR890" s="84"/>
      <c r="AS890" s="84"/>
      <c r="AT890" s="84"/>
      <c r="AU890" s="84"/>
      <c r="AV890" s="84"/>
      <c r="AW890" s="84"/>
      <c r="AX890" s="84"/>
      <c r="AY890" s="84"/>
      <c r="AZ890" s="84"/>
      <c r="BA890" s="84"/>
      <c r="BB890" s="84"/>
      <c r="BC890" s="84"/>
      <c r="BD890" s="84"/>
      <c r="BE890" s="84">
        <v>0.18</v>
      </c>
      <c r="BF890" s="84"/>
      <c r="BG890" s="84"/>
      <c r="BH890" s="84"/>
      <c r="BI890" s="84"/>
      <c r="BJ890" s="78">
        <f t="shared" si="102"/>
        <v>0</v>
      </c>
      <c r="BK890" s="84"/>
      <c r="BL890" s="44">
        <v>41</v>
      </c>
      <c r="BM890" s="79">
        <f t="shared" ref="BM890:BM933" si="106">J890-SUM(V890:BH890)</f>
        <v>0</v>
      </c>
      <c r="BN890" s="75"/>
      <c r="BO890" s="75"/>
    </row>
    <row r="891" spans="1:67" s="4" customFormat="1" x14ac:dyDescent="0.3">
      <c r="A891" s="48">
        <v>174</v>
      </c>
      <c r="B891" s="42" t="s">
        <v>306</v>
      </c>
      <c r="C891" s="48" t="s">
        <v>29</v>
      </c>
      <c r="D891" s="39">
        <v>0.53</v>
      </c>
      <c r="E891" s="39"/>
      <c r="F891" s="39">
        <v>0.53</v>
      </c>
      <c r="G891" s="39">
        <v>0.53</v>
      </c>
      <c r="H891" s="39"/>
      <c r="I891" s="39"/>
      <c r="J891" s="39">
        <f t="shared" si="105"/>
        <v>0</v>
      </c>
      <c r="K891" s="42" t="s">
        <v>389</v>
      </c>
      <c r="L891" s="42" t="s">
        <v>377</v>
      </c>
      <c r="M891" s="44">
        <v>22</v>
      </c>
      <c r="N891" s="209">
        <v>722</v>
      </c>
      <c r="O891" s="44"/>
      <c r="P891" s="84"/>
      <c r="Q891" s="84"/>
      <c r="R891" s="84"/>
      <c r="S891" s="84"/>
      <c r="T891" s="84"/>
      <c r="U891" s="84"/>
      <c r="V891" s="84"/>
      <c r="W891" s="84"/>
      <c r="X891" s="84"/>
      <c r="Y891" s="84"/>
      <c r="Z891" s="84"/>
      <c r="AA891" s="84"/>
      <c r="AB891" s="84"/>
      <c r="AC891" s="84"/>
      <c r="AD891" s="84"/>
      <c r="AE891" s="84"/>
      <c r="AF891" s="84"/>
      <c r="AG891" s="84"/>
      <c r="AH891" s="84"/>
      <c r="AI891" s="84"/>
      <c r="AJ891" s="84"/>
      <c r="AK891" s="84"/>
      <c r="AL891" s="84"/>
      <c r="AM891" s="84"/>
      <c r="AN891" s="84"/>
      <c r="AO891" s="84"/>
      <c r="AP891" s="84"/>
      <c r="AQ891" s="84"/>
      <c r="AR891" s="84"/>
      <c r="AS891" s="84"/>
      <c r="AT891" s="84"/>
      <c r="AU891" s="84"/>
      <c r="AV891" s="84"/>
      <c r="AW891" s="84"/>
      <c r="AX891" s="84"/>
      <c r="AY891" s="84"/>
      <c r="AZ891" s="84"/>
      <c r="BA891" s="84"/>
      <c r="BB891" s="84"/>
      <c r="BC891" s="84"/>
      <c r="BD891" s="84"/>
      <c r="BE891" s="84"/>
      <c r="BF891" s="84"/>
      <c r="BG891" s="84"/>
      <c r="BH891" s="84"/>
      <c r="BI891" s="84"/>
      <c r="BJ891" s="78">
        <f t="shared" si="102"/>
        <v>0</v>
      </c>
      <c r="BK891" s="84"/>
      <c r="BL891" s="44">
        <v>41</v>
      </c>
      <c r="BM891" s="79">
        <f t="shared" si="106"/>
        <v>0</v>
      </c>
      <c r="BN891" s="75"/>
      <c r="BO891" s="75"/>
    </row>
    <row r="892" spans="1:67" s="4" customFormat="1" x14ac:dyDescent="0.3">
      <c r="A892" s="48">
        <v>175</v>
      </c>
      <c r="B892" s="42" t="s">
        <v>306</v>
      </c>
      <c r="C892" s="48" t="s">
        <v>29</v>
      </c>
      <c r="D892" s="39">
        <f>1.06+0.44+0.09+0.08</f>
        <v>1.6700000000000002</v>
      </c>
      <c r="E892" s="39"/>
      <c r="F892" s="39">
        <f>1.06+0.44+0.09+0.08</f>
        <v>1.6700000000000002</v>
      </c>
      <c r="G892" s="39"/>
      <c r="H892" s="39"/>
      <c r="I892" s="39"/>
      <c r="J892" s="39">
        <f t="shared" si="105"/>
        <v>1.67</v>
      </c>
      <c r="K892" s="42" t="s">
        <v>390</v>
      </c>
      <c r="L892" s="42" t="s">
        <v>377</v>
      </c>
      <c r="M892" s="44">
        <v>27</v>
      </c>
      <c r="N892" s="209">
        <v>723</v>
      </c>
      <c r="O892" s="44"/>
      <c r="P892" s="84"/>
      <c r="Q892" s="84"/>
      <c r="R892" s="84"/>
      <c r="S892" s="84"/>
      <c r="T892" s="84"/>
      <c r="U892" s="84"/>
      <c r="V892" s="84"/>
      <c r="W892" s="84"/>
      <c r="X892" s="84"/>
      <c r="Y892" s="84"/>
      <c r="Z892" s="84">
        <v>1.67</v>
      </c>
      <c r="AA892" s="84"/>
      <c r="AB892" s="84"/>
      <c r="AC892" s="84"/>
      <c r="AD892" s="84"/>
      <c r="AE892" s="84"/>
      <c r="AF892" s="84"/>
      <c r="AG892" s="84"/>
      <c r="AH892" s="84"/>
      <c r="AI892" s="84"/>
      <c r="AJ892" s="84"/>
      <c r="AK892" s="84"/>
      <c r="AL892" s="84"/>
      <c r="AM892" s="84"/>
      <c r="AN892" s="84"/>
      <c r="AO892" s="84"/>
      <c r="AP892" s="84"/>
      <c r="AQ892" s="84"/>
      <c r="AR892" s="84"/>
      <c r="AS892" s="84"/>
      <c r="AT892" s="84"/>
      <c r="AU892" s="84"/>
      <c r="AV892" s="84"/>
      <c r="AW892" s="84"/>
      <c r="AX892" s="84"/>
      <c r="AY892" s="84"/>
      <c r="AZ892" s="84"/>
      <c r="BA892" s="84"/>
      <c r="BB892" s="84"/>
      <c r="BC892" s="84"/>
      <c r="BD892" s="84"/>
      <c r="BE892" s="84"/>
      <c r="BF892" s="84"/>
      <c r="BG892" s="84"/>
      <c r="BH892" s="84"/>
      <c r="BI892" s="84"/>
      <c r="BJ892" s="78">
        <f t="shared" si="102"/>
        <v>0</v>
      </c>
      <c r="BK892" s="84"/>
      <c r="BL892" s="44">
        <v>41</v>
      </c>
      <c r="BM892" s="79">
        <f t="shared" si="106"/>
        <v>0</v>
      </c>
      <c r="BN892" s="75"/>
      <c r="BO892" s="75"/>
    </row>
    <row r="893" spans="1:67" s="4" customFormat="1" ht="31.2" x14ac:dyDescent="0.3">
      <c r="A893" s="48">
        <v>176</v>
      </c>
      <c r="B893" s="42" t="s">
        <v>352</v>
      </c>
      <c r="C893" s="48" t="s">
        <v>29</v>
      </c>
      <c r="D893" s="41">
        <v>1</v>
      </c>
      <c r="E893" s="39"/>
      <c r="F893" s="41">
        <v>1</v>
      </c>
      <c r="G893" s="41"/>
      <c r="H893" s="41"/>
      <c r="I893" s="39"/>
      <c r="J893" s="107">
        <v>1</v>
      </c>
      <c r="K893" s="42" t="s">
        <v>711</v>
      </c>
      <c r="L893" s="42" t="s">
        <v>377</v>
      </c>
      <c r="M893" s="44" t="s">
        <v>712</v>
      </c>
      <c r="N893" s="209">
        <v>724</v>
      </c>
      <c r="O893" s="4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L893" s="84"/>
      <c r="AM893" s="84"/>
      <c r="AN893" s="84"/>
      <c r="AO893" s="84"/>
      <c r="AP893" s="84"/>
      <c r="AQ893" s="84"/>
      <c r="AR893" s="84"/>
      <c r="AS893" s="84"/>
      <c r="AT893" s="84"/>
      <c r="AU893" s="84"/>
      <c r="AV893" s="84"/>
      <c r="AW893" s="84"/>
      <c r="AX893" s="84"/>
      <c r="AY893" s="84"/>
      <c r="AZ893" s="84"/>
      <c r="BA893" s="84"/>
      <c r="BB893" s="84"/>
      <c r="BC893" s="84"/>
      <c r="BD893" s="84"/>
      <c r="BE893" s="84">
        <v>1</v>
      </c>
      <c r="BF893" s="84"/>
      <c r="BG893" s="84"/>
      <c r="BH893" s="84"/>
      <c r="BI893" s="84"/>
      <c r="BJ893" s="78">
        <f t="shared" si="102"/>
        <v>0</v>
      </c>
      <c r="BK893" s="84"/>
      <c r="BL893" s="44">
        <v>41</v>
      </c>
      <c r="BM893" s="79">
        <f t="shared" si="106"/>
        <v>0</v>
      </c>
      <c r="BN893" s="75"/>
      <c r="BO893" s="75"/>
    </row>
    <row r="894" spans="1:67" s="4" customFormat="1" ht="31.2" x14ac:dyDescent="0.3">
      <c r="A894" s="48">
        <v>177</v>
      </c>
      <c r="B894" s="42" t="s">
        <v>587</v>
      </c>
      <c r="C894" s="48" t="s">
        <v>29</v>
      </c>
      <c r="D894" s="39">
        <f>0.15+0.67+0.95+0.9+0.35</f>
        <v>3.02</v>
      </c>
      <c r="E894" s="39"/>
      <c r="F894" s="39">
        <f>0.15+0.67+0.95+0.9+0.35</f>
        <v>3.02</v>
      </c>
      <c r="G894" s="39">
        <f>0.82+0.9+0.35</f>
        <v>2.0699999999999998</v>
      </c>
      <c r="H894" s="39"/>
      <c r="I894" s="39"/>
      <c r="J894" s="39">
        <f t="shared" ref="J894:J902" si="107">SUM(P894:BE894)</f>
        <v>0.95</v>
      </c>
      <c r="K894" s="42" t="s">
        <v>399</v>
      </c>
      <c r="L894" s="42" t="s">
        <v>395</v>
      </c>
      <c r="M894" s="43">
        <v>8</v>
      </c>
      <c r="N894" s="210">
        <v>725</v>
      </c>
      <c r="O894" s="43"/>
      <c r="P894" s="119"/>
      <c r="Q894" s="119"/>
      <c r="R894" s="119"/>
      <c r="S894" s="119"/>
      <c r="T894" s="119"/>
      <c r="U894" s="119"/>
      <c r="V894" s="119"/>
      <c r="W894" s="119"/>
      <c r="X894" s="119"/>
      <c r="Y894" s="119"/>
      <c r="Z894" s="119"/>
      <c r="AA894" s="119">
        <v>0.95</v>
      </c>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19"/>
      <c r="AY894" s="119"/>
      <c r="AZ894" s="119"/>
      <c r="BA894" s="119"/>
      <c r="BB894" s="119"/>
      <c r="BC894" s="119"/>
      <c r="BD894" s="119"/>
      <c r="BE894" s="119"/>
      <c r="BF894" s="119"/>
      <c r="BG894" s="119"/>
      <c r="BH894" s="119"/>
      <c r="BI894" s="119"/>
      <c r="BJ894" s="78">
        <f t="shared" si="102"/>
        <v>0</v>
      </c>
      <c r="BK894" s="84"/>
      <c r="BL894" s="44">
        <v>41</v>
      </c>
      <c r="BM894" s="79">
        <f t="shared" si="106"/>
        <v>0</v>
      </c>
      <c r="BN894" s="75"/>
      <c r="BO894" s="75"/>
    </row>
    <row r="895" spans="1:67" s="4" customFormat="1" ht="62.4" x14ac:dyDescent="0.3">
      <c r="A895" s="48">
        <v>178</v>
      </c>
      <c r="B895" s="42" t="s">
        <v>306</v>
      </c>
      <c r="C895" s="48" t="s">
        <v>29</v>
      </c>
      <c r="D895" s="39">
        <f>1.71+0.85+0.32+0.28</f>
        <v>3.16</v>
      </c>
      <c r="E895" s="39"/>
      <c r="F895" s="39">
        <f>1.71+0.85+0.32+0.28</f>
        <v>3.16</v>
      </c>
      <c r="G895" s="39">
        <f>1.71-0.08-0.1-0.05+0.85+0.32+0.28</f>
        <v>2.9299999999999997</v>
      </c>
      <c r="H895" s="39"/>
      <c r="I895" s="39"/>
      <c r="J895" s="39">
        <f t="shared" si="107"/>
        <v>0.23000000000000004</v>
      </c>
      <c r="K895" s="42" t="s">
        <v>400</v>
      </c>
      <c r="L895" s="42" t="s">
        <v>395</v>
      </c>
      <c r="M895" s="43">
        <v>11</v>
      </c>
      <c r="N895" s="210">
        <v>726</v>
      </c>
      <c r="O895" s="43"/>
      <c r="P895" s="119"/>
      <c r="Q895" s="119"/>
      <c r="R895" s="119"/>
      <c r="S895" s="119"/>
      <c r="T895" s="119"/>
      <c r="U895" s="119"/>
      <c r="V895" s="119"/>
      <c r="W895" s="119"/>
      <c r="X895" s="119"/>
      <c r="Y895" s="119"/>
      <c r="Z895" s="119">
        <v>0.05</v>
      </c>
      <c r="AA895" s="119"/>
      <c r="AB895" s="119">
        <v>0.1</v>
      </c>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19"/>
      <c r="AY895" s="119"/>
      <c r="AZ895" s="119"/>
      <c r="BA895" s="119"/>
      <c r="BB895" s="119"/>
      <c r="BC895" s="119"/>
      <c r="BD895" s="119"/>
      <c r="BE895" s="119">
        <v>0.08</v>
      </c>
      <c r="BF895" s="119"/>
      <c r="BG895" s="119"/>
      <c r="BH895" s="119"/>
      <c r="BI895" s="119"/>
      <c r="BJ895" s="78">
        <f t="shared" si="102"/>
        <v>0</v>
      </c>
      <c r="BK895" s="84"/>
      <c r="BL895" s="44">
        <v>41</v>
      </c>
      <c r="BM895" s="79">
        <f t="shared" si="106"/>
        <v>0</v>
      </c>
      <c r="BN895" s="75"/>
      <c r="BO895" s="75"/>
    </row>
    <row r="896" spans="1:67" s="4" customFormat="1" ht="46.8" x14ac:dyDescent="0.3">
      <c r="A896" s="48">
        <v>179</v>
      </c>
      <c r="B896" s="42" t="s">
        <v>306</v>
      </c>
      <c r="C896" s="48" t="s">
        <v>29</v>
      </c>
      <c r="D896" s="39">
        <f>1.31+3.8+0.37+0.53</f>
        <v>6.01</v>
      </c>
      <c r="E896" s="39"/>
      <c r="F896" s="39">
        <f>1.31+3.8+0.37+0.53</f>
        <v>6.01</v>
      </c>
      <c r="G896" s="39">
        <f>5.11-0.2+0.04+0.53</f>
        <v>5.48</v>
      </c>
      <c r="H896" s="39"/>
      <c r="I896" s="39"/>
      <c r="J896" s="39">
        <f t="shared" si="107"/>
        <v>0.53</v>
      </c>
      <c r="K896" s="42" t="s">
        <v>401</v>
      </c>
      <c r="L896" s="42" t="s">
        <v>395</v>
      </c>
      <c r="M896" s="43">
        <v>13</v>
      </c>
      <c r="N896" s="210">
        <v>727</v>
      </c>
      <c r="O896" s="43"/>
      <c r="P896" s="119"/>
      <c r="Q896" s="119"/>
      <c r="R896" s="119"/>
      <c r="S896" s="119"/>
      <c r="T896" s="119"/>
      <c r="U896" s="119"/>
      <c r="V896" s="119"/>
      <c r="W896" s="119"/>
      <c r="X896" s="119"/>
      <c r="Y896" s="119"/>
      <c r="Z896" s="119"/>
      <c r="AA896" s="119"/>
      <c r="AB896" s="119">
        <v>0.1</v>
      </c>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19"/>
      <c r="AY896" s="119"/>
      <c r="AZ896" s="119"/>
      <c r="BA896" s="119"/>
      <c r="BB896" s="119"/>
      <c r="BC896" s="119"/>
      <c r="BD896" s="119">
        <v>0.33</v>
      </c>
      <c r="BE896" s="119">
        <v>0.1</v>
      </c>
      <c r="BF896" s="119"/>
      <c r="BG896" s="119"/>
      <c r="BH896" s="119"/>
      <c r="BI896" s="119"/>
      <c r="BJ896" s="78">
        <f t="shared" si="102"/>
        <v>0</v>
      </c>
      <c r="BK896" s="84"/>
      <c r="BL896" s="44">
        <v>41</v>
      </c>
      <c r="BM896" s="79">
        <f t="shared" si="106"/>
        <v>0</v>
      </c>
      <c r="BN896" s="75"/>
      <c r="BO896" s="75"/>
    </row>
    <row r="897" spans="1:67" s="4" customFormat="1" ht="43.5" customHeight="1" x14ac:dyDescent="0.3">
      <c r="A897" s="48">
        <v>180</v>
      </c>
      <c r="B897" s="42" t="s">
        <v>306</v>
      </c>
      <c r="C897" s="48" t="s">
        <v>29</v>
      </c>
      <c r="D897" s="39">
        <f>3.96+1.33+1.5</f>
        <v>6.79</v>
      </c>
      <c r="E897" s="39"/>
      <c r="F897" s="39">
        <f>5.29+1.5</f>
        <v>6.79</v>
      </c>
      <c r="G897" s="39">
        <f>0.96+1.33+1.5</f>
        <v>3.79</v>
      </c>
      <c r="H897" s="39"/>
      <c r="I897" s="39"/>
      <c r="J897" s="39">
        <v>4.5</v>
      </c>
      <c r="K897" s="42" t="s">
        <v>402</v>
      </c>
      <c r="L897" s="42" t="s">
        <v>395</v>
      </c>
      <c r="M897" s="43">
        <v>14</v>
      </c>
      <c r="N897" s="210">
        <v>728</v>
      </c>
      <c r="O897" s="43"/>
      <c r="P897" s="119"/>
      <c r="Q897" s="119"/>
      <c r="R897" s="119"/>
      <c r="S897" s="119"/>
      <c r="T897" s="119"/>
      <c r="U897" s="119"/>
      <c r="V897" s="119"/>
      <c r="W897" s="119"/>
      <c r="X897" s="119"/>
      <c r="Y897" s="119"/>
      <c r="Z897" s="119">
        <f>0.97+0.39+0.57+0.87+1.5</f>
        <v>4.3</v>
      </c>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19"/>
      <c r="AY897" s="119"/>
      <c r="AZ897" s="119"/>
      <c r="BA897" s="119"/>
      <c r="BB897" s="119"/>
      <c r="BC897" s="119"/>
      <c r="BD897" s="119"/>
      <c r="BE897" s="119">
        <v>0.2</v>
      </c>
      <c r="BF897" s="119"/>
      <c r="BG897" s="119"/>
      <c r="BH897" s="119"/>
      <c r="BI897" s="119"/>
      <c r="BJ897" s="78">
        <f t="shared" si="102"/>
        <v>0</v>
      </c>
      <c r="BK897" s="84"/>
      <c r="BL897" s="44">
        <v>41</v>
      </c>
      <c r="BM897" s="79">
        <f t="shared" si="106"/>
        <v>0</v>
      </c>
      <c r="BN897" s="75"/>
      <c r="BO897" s="75"/>
    </row>
    <row r="898" spans="1:67" s="4" customFormat="1" ht="31.2" x14ac:dyDescent="0.3">
      <c r="A898" s="48">
        <v>181</v>
      </c>
      <c r="B898" s="42" t="s">
        <v>306</v>
      </c>
      <c r="C898" s="48" t="s">
        <v>29</v>
      </c>
      <c r="D898" s="39">
        <v>3.49</v>
      </c>
      <c r="E898" s="39"/>
      <c r="F898" s="39">
        <v>3.49</v>
      </c>
      <c r="G898" s="39">
        <v>3.39</v>
      </c>
      <c r="H898" s="39"/>
      <c r="I898" s="39"/>
      <c r="J898" s="39">
        <f t="shared" si="107"/>
        <v>0.1</v>
      </c>
      <c r="K898" s="42" t="s">
        <v>403</v>
      </c>
      <c r="L898" s="42" t="s">
        <v>395</v>
      </c>
      <c r="M898" s="43">
        <v>15</v>
      </c>
      <c r="N898" s="210">
        <v>729</v>
      </c>
      <c r="O898" s="43"/>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19"/>
      <c r="AY898" s="119"/>
      <c r="AZ898" s="119"/>
      <c r="BA898" s="119"/>
      <c r="BB898" s="119"/>
      <c r="BC898" s="119"/>
      <c r="BD898" s="119"/>
      <c r="BE898" s="119">
        <v>0.1</v>
      </c>
      <c r="BF898" s="119"/>
      <c r="BG898" s="119"/>
      <c r="BH898" s="119"/>
      <c r="BI898" s="119"/>
      <c r="BJ898" s="78">
        <f t="shared" si="102"/>
        <v>0</v>
      </c>
      <c r="BK898" s="84"/>
      <c r="BL898" s="44">
        <v>41</v>
      </c>
      <c r="BM898" s="79">
        <f t="shared" si="106"/>
        <v>0</v>
      </c>
      <c r="BN898" s="75"/>
      <c r="BO898" s="75"/>
    </row>
    <row r="899" spans="1:67" s="4" customFormat="1" ht="46.8" x14ac:dyDescent="0.3">
      <c r="A899" s="48">
        <v>182</v>
      </c>
      <c r="B899" s="42" t="s">
        <v>306</v>
      </c>
      <c r="C899" s="48" t="s">
        <v>29</v>
      </c>
      <c r="D899" s="39">
        <f>0.4+1+0.39+0.73+0.74+0.53+0.48+0.56+0.71+0.31</f>
        <v>5.85</v>
      </c>
      <c r="E899" s="39"/>
      <c r="F899" s="39">
        <v>5.85</v>
      </c>
      <c r="G899" s="39">
        <f>0.74+0.53+0.48+1.15</f>
        <v>2.9</v>
      </c>
      <c r="H899" s="39"/>
      <c r="I899" s="39"/>
      <c r="J899" s="39">
        <f t="shared" si="107"/>
        <v>2.95</v>
      </c>
      <c r="K899" s="42" t="s">
        <v>404</v>
      </c>
      <c r="L899" s="42" t="s">
        <v>395</v>
      </c>
      <c r="M899" s="43">
        <v>16</v>
      </c>
      <c r="N899" s="210">
        <v>730</v>
      </c>
      <c r="O899" s="43"/>
      <c r="P899" s="119"/>
      <c r="Q899" s="119"/>
      <c r="R899" s="119"/>
      <c r="S899" s="119"/>
      <c r="T899" s="119"/>
      <c r="U899" s="119"/>
      <c r="V899" s="119"/>
      <c r="W899" s="119"/>
      <c r="X899" s="119"/>
      <c r="Y899" s="119"/>
      <c r="Z899" s="119">
        <v>0.4</v>
      </c>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19"/>
      <c r="AY899" s="119"/>
      <c r="AZ899" s="119"/>
      <c r="BA899" s="119"/>
      <c r="BB899" s="119"/>
      <c r="BC899" s="119"/>
      <c r="BD899" s="119"/>
      <c r="BE899" s="119">
        <f>1+0.39+0.73+0.12+0.31</f>
        <v>2.5500000000000003</v>
      </c>
      <c r="BF899" s="119"/>
      <c r="BG899" s="119"/>
      <c r="BH899" s="119"/>
      <c r="BI899" s="119"/>
      <c r="BJ899" s="78">
        <f t="shared" si="102"/>
        <v>0</v>
      </c>
      <c r="BK899" s="84"/>
      <c r="BL899" s="44">
        <v>41</v>
      </c>
      <c r="BM899" s="79">
        <f t="shared" si="106"/>
        <v>0</v>
      </c>
      <c r="BN899" s="75"/>
      <c r="BO899" s="75"/>
    </row>
    <row r="900" spans="1:67" s="4" customFormat="1" ht="46.8" x14ac:dyDescent="0.3">
      <c r="A900" s="48">
        <v>183</v>
      </c>
      <c r="B900" s="42" t="s">
        <v>306</v>
      </c>
      <c r="C900" s="48" t="s">
        <v>29</v>
      </c>
      <c r="D900" s="39">
        <f>3.51+0.35</f>
        <v>3.86</v>
      </c>
      <c r="E900" s="39"/>
      <c r="F900" s="39">
        <v>3.86</v>
      </c>
      <c r="G900" s="39">
        <f>3.14+0.35</f>
        <v>3.49</v>
      </c>
      <c r="H900" s="39"/>
      <c r="I900" s="39"/>
      <c r="J900" s="39">
        <f t="shared" si="107"/>
        <v>0.37</v>
      </c>
      <c r="K900" s="42" t="s">
        <v>405</v>
      </c>
      <c r="L900" s="42" t="s">
        <v>395</v>
      </c>
      <c r="M900" s="43">
        <v>17</v>
      </c>
      <c r="N900" s="210">
        <v>731</v>
      </c>
      <c r="O900" s="43"/>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v>0.37</v>
      </c>
      <c r="AP900" s="119"/>
      <c r="AQ900" s="119"/>
      <c r="AR900" s="119"/>
      <c r="AS900" s="119"/>
      <c r="AT900" s="119"/>
      <c r="AU900" s="119"/>
      <c r="AV900" s="119"/>
      <c r="AW900" s="119"/>
      <c r="AX900" s="119"/>
      <c r="AY900" s="119"/>
      <c r="AZ900" s="119"/>
      <c r="BA900" s="119"/>
      <c r="BB900" s="119"/>
      <c r="BC900" s="119"/>
      <c r="BD900" s="119"/>
      <c r="BE900" s="119"/>
      <c r="BF900" s="119"/>
      <c r="BG900" s="119"/>
      <c r="BH900" s="119"/>
      <c r="BI900" s="119"/>
      <c r="BJ900" s="78">
        <f t="shared" si="102"/>
        <v>0</v>
      </c>
      <c r="BK900" s="84"/>
      <c r="BL900" s="44">
        <v>41</v>
      </c>
      <c r="BM900" s="79">
        <f t="shared" si="106"/>
        <v>0</v>
      </c>
      <c r="BN900" s="75"/>
      <c r="BO900" s="75"/>
    </row>
    <row r="901" spans="1:67" s="4" customFormat="1" ht="31.2" x14ac:dyDescent="0.3">
      <c r="A901" s="48">
        <v>184</v>
      </c>
      <c r="B901" s="42" t="s">
        <v>306</v>
      </c>
      <c r="C901" s="48" t="s">
        <v>29</v>
      </c>
      <c r="D901" s="39">
        <v>2.37</v>
      </c>
      <c r="E901" s="39"/>
      <c r="F901" s="39">
        <v>2.37</v>
      </c>
      <c r="G901" s="39">
        <v>2.27</v>
      </c>
      <c r="H901" s="39"/>
      <c r="I901" s="39"/>
      <c r="J901" s="39">
        <f t="shared" si="107"/>
        <v>0.1</v>
      </c>
      <c r="K901" s="42" t="s">
        <v>406</v>
      </c>
      <c r="L901" s="42" t="s">
        <v>395</v>
      </c>
      <c r="M901" s="43">
        <v>18</v>
      </c>
      <c r="N901" s="210">
        <v>732</v>
      </c>
      <c r="O901" s="43"/>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19"/>
      <c r="AY901" s="119"/>
      <c r="AZ901" s="119"/>
      <c r="BA901" s="119"/>
      <c r="BB901" s="119"/>
      <c r="BC901" s="119"/>
      <c r="BD901" s="119"/>
      <c r="BE901" s="119">
        <v>0.1</v>
      </c>
      <c r="BF901" s="119"/>
      <c r="BG901" s="119"/>
      <c r="BH901" s="119"/>
      <c r="BI901" s="119"/>
      <c r="BJ901" s="78">
        <f t="shared" si="102"/>
        <v>0</v>
      </c>
      <c r="BK901" s="84"/>
      <c r="BL901" s="44">
        <v>41</v>
      </c>
      <c r="BM901" s="79">
        <f t="shared" si="106"/>
        <v>0</v>
      </c>
      <c r="BN901" s="75"/>
      <c r="BO901" s="75"/>
    </row>
    <row r="902" spans="1:67" s="4" customFormat="1" ht="46.8" x14ac:dyDescent="0.3">
      <c r="A902" s="48">
        <v>185</v>
      </c>
      <c r="B902" s="42" t="s">
        <v>306</v>
      </c>
      <c r="C902" s="48" t="s">
        <v>29</v>
      </c>
      <c r="D902" s="39">
        <f>3.59+1.3+0.46</f>
        <v>5.35</v>
      </c>
      <c r="E902" s="39"/>
      <c r="F902" s="39">
        <f>3.59+1.3+0.46</f>
        <v>5.35</v>
      </c>
      <c r="G902" s="39">
        <f>2.68-0.1-0.25+0.91+1.3+0.46</f>
        <v>5</v>
      </c>
      <c r="H902" s="39"/>
      <c r="I902" s="39"/>
      <c r="J902" s="39">
        <f t="shared" si="107"/>
        <v>0.35</v>
      </c>
      <c r="K902" s="42" t="s">
        <v>407</v>
      </c>
      <c r="L902" s="42" t="s">
        <v>395</v>
      </c>
      <c r="M902" s="43">
        <v>19</v>
      </c>
      <c r="N902" s="210">
        <v>733</v>
      </c>
      <c r="O902" s="43"/>
      <c r="P902" s="119"/>
      <c r="Q902" s="119"/>
      <c r="R902" s="119"/>
      <c r="S902" s="119"/>
      <c r="T902" s="119"/>
      <c r="U902" s="119"/>
      <c r="V902" s="119"/>
      <c r="W902" s="119"/>
      <c r="X902" s="119"/>
      <c r="Y902" s="119"/>
      <c r="Z902" s="119"/>
      <c r="AA902" s="119"/>
      <c r="AB902" s="119">
        <v>0.1</v>
      </c>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19"/>
      <c r="AY902" s="119"/>
      <c r="AZ902" s="119"/>
      <c r="BA902" s="119"/>
      <c r="BB902" s="119"/>
      <c r="BC902" s="119"/>
      <c r="BD902" s="119">
        <v>0.25</v>
      </c>
      <c r="BE902" s="119"/>
      <c r="BF902" s="119"/>
      <c r="BG902" s="119"/>
      <c r="BH902" s="119"/>
      <c r="BI902" s="119"/>
      <c r="BJ902" s="78">
        <f t="shared" si="102"/>
        <v>0</v>
      </c>
      <c r="BK902" s="84"/>
      <c r="BL902" s="44">
        <v>41</v>
      </c>
      <c r="BM902" s="79">
        <f t="shared" si="106"/>
        <v>0</v>
      </c>
      <c r="BN902" s="75"/>
      <c r="BO902" s="75"/>
    </row>
    <row r="903" spans="1:67" s="4" customFormat="1" ht="31.2" x14ac:dyDescent="0.3">
      <c r="A903" s="48">
        <v>186</v>
      </c>
      <c r="B903" s="42" t="s">
        <v>352</v>
      </c>
      <c r="C903" s="48" t="s">
        <v>29</v>
      </c>
      <c r="D903" s="41">
        <v>1</v>
      </c>
      <c r="E903" s="39"/>
      <c r="F903" s="41">
        <v>1</v>
      </c>
      <c r="G903" s="41"/>
      <c r="H903" s="41"/>
      <c r="I903" s="39"/>
      <c r="J903" s="107">
        <v>1</v>
      </c>
      <c r="K903" s="42" t="s">
        <v>711</v>
      </c>
      <c r="L903" s="42" t="s">
        <v>395</v>
      </c>
      <c r="M903" s="43" t="s">
        <v>672</v>
      </c>
      <c r="N903" s="210">
        <v>734</v>
      </c>
      <c r="O903" s="43"/>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19"/>
      <c r="AY903" s="119"/>
      <c r="AZ903" s="119"/>
      <c r="BA903" s="119"/>
      <c r="BB903" s="119"/>
      <c r="BC903" s="119"/>
      <c r="BD903" s="119"/>
      <c r="BE903" s="119">
        <v>1</v>
      </c>
      <c r="BF903" s="119"/>
      <c r="BG903" s="119"/>
      <c r="BH903" s="119"/>
      <c r="BI903" s="119"/>
      <c r="BJ903" s="78">
        <f t="shared" si="102"/>
        <v>0</v>
      </c>
      <c r="BK903" s="84"/>
      <c r="BL903" s="44">
        <v>41</v>
      </c>
      <c r="BM903" s="79">
        <f t="shared" si="106"/>
        <v>0</v>
      </c>
      <c r="BN903" s="75"/>
      <c r="BO903" s="75"/>
    </row>
    <row r="904" spans="1:67" s="4" customFormat="1" x14ac:dyDescent="0.3">
      <c r="A904" s="48">
        <v>187</v>
      </c>
      <c r="B904" s="42" t="s">
        <v>306</v>
      </c>
      <c r="C904" s="48" t="s">
        <v>29</v>
      </c>
      <c r="D904" s="41">
        <v>1.85</v>
      </c>
      <c r="E904" s="41"/>
      <c r="F904" s="41">
        <v>1.85</v>
      </c>
      <c r="G904" s="39">
        <f>1.85-0.13</f>
        <v>1.7200000000000002</v>
      </c>
      <c r="H904" s="39"/>
      <c r="I904" s="39"/>
      <c r="J904" s="39">
        <f t="shared" ref="J904:J922" si="108">SUM(P904:BG904)</f>
        <v>0.13</v>
      </c>
      <c r="K904" s="42" t="s">
        <v>424</v>
      </c>
      <c r="L904" s="42" t="s">
        <v>415</v>
      </c>
      <c r="M904" s="43">
        <v>1</v>
      </c>
      <c r="N904" s="210">
        <v>735</v>
      </c>
      <c r="O904" s="43"/>
      <c r="P904" s="84"/>
      <c r="Q904" s="84"/>
      <c r="R904" s="84"/>
      <c r="S904" s="84"/>
      <c r="T904" s="84"/>
      <c r="U904" s="84"/>
      <c r="V904" s="84"/>
      <c r="W904" s="84"/>
      <c r="X904" s="84"/>
      <c r="Y904" s="84"/>
      <c r="Z904" s="84"/>
      <c r="AA904" s="84">
        <v>0.13</v>
      </c>
      <c r="AB904" s="84"/>
      <c r="AC904" s="84"/>
      <c r="AD904" s="84"/>
      <c r="AE904" s="84"/>
      <c r="AF904" s="84"/>
      <c r="AG904" s="84"/>
      <c r="AH904" s="84"/>
      <c r="AI904" s="84"/>
      <c r="AJ904" s="84"/>
      <c r="AK904" s="84"/>
      <c r="AL904" s="84"/>
      <c r="AM904" s="84"/>
      <c r="AN904" s="84"/>
      <c r="AO904" s="84"/>
      <c r="AP904" s="84"/>
      <c r="AQ904" s="84"/>
      <c r="AR904" s="84"/>
      <c r="AS904" s="84"/>
      <c r="AT904" s="84"/>
      <c r="AU904" s="84"/>
      <c r="AV904" s="84"/>
      <c r="AW904" s="84"/>
      <c r="AX904" s="84"/>
      <c r="AY904" s="84"/>
      <c r="AZ904" s="84"/>
      <c r="BA904" s="84"/>
      <c r="BB904" s="84"/>
      <c r="BC904" s="84"/>
      <c r="BD904" s="84"/>
      <c r="BE904" s="84"/>
      <c r="BF904" s="84"/>
      <c r="BG904" s="84"/>
      <c r="BH904" s="84"/>
      <c r="BI904" s="84"/>
      <c r="BJ904" s="78">
        <f t="shared" si="102"/>
        <v>0</v>
      </c>
      <c r="BK904" s="84"/>
      <c r="BL904" s="44">
        <v>41</v>
      </c>
      <c r="BM904" s="79">
        <f t="shared" si="106"/>
        <v>0</v>
      </c>
      <c r="BN904" s="75"/>
      <c r="BO904" s="75"/>
    </row>
    <row r="905" spans="1:67" s="4" customFormat="1" x14ac:dyDescent="0.3">
      <c r="A905" s="48">
        <v>188</v>
      </c>
      <c r="B905" s="42" t="s">
        <v>306</v>
      </c>
      <c r="C905" s="48" t="s">
        <v>29</v>
      </c>
      <c r="D905" s="41">
        <v>0.8</v>
      </c>
      <c r="E905" s="41"/>
      <c r="F905" s="41">
        <v>0.8</v>
      </c>
      <c r="G905" s="39">
        <v>0.4</v>
      </c>
      <c r="H905" s="39"/>
      <c r="I905" s="39"/>
      <c r="J905" s="39">
        <f t="shared" si="108"/>
        <v>0.4</v>
      </c>
      <c r="K905" s="42" t="s">
        <v>436</v>
      </c>
      <c r="L905" s="42" t="s">
        <v>415</v>
      </c>
      <c r="M905" s="43">
        <v>2</v>
      </c>
      <c r="N905" s="210">
        <v>736</v>
      </c>
      <c r="O905" s="43"/>
      <c r="P905" s="84"/>
      <c r="Q905" s="84"/>
      <c r="R905" s="84"/>
      <c r="S905" s="84"/>
      <c r="T905" s="84"/>
      <c r="U905" s="84"/>
      <c r="V905" s="84"/>
      <c r="W905" s="84"/>
      <c r="X905" s="84"/>
      <c r="Y905" s="84"/>
      <c r="Z905" s="84">
        <v>0.2</v>
      </c>
      <c r="AA905" s="84"/>
      <c r="AB905" s="84"/>
      <c r="AC905" s="84"/>
      <c r="AD905" s="84"/>
      <c r="AE905" s="84"/>
      <c r="AF905" s="84"/>
      <c r="AG905" s="84"/>
      <c r="AH905" s="84"/>
      <c r="AI905" s="84"/>
      <c r="AJ905" s="84"/>
      <c r="AK905" s="84"/>
      <c r="AL905" s="84"/>
      <c r="AM905" s="84"/>
      <c r="AN905" s="84"/>
      <c r="AO905" s="84"/>
      <c r="AP905" s="84"/>
      <c r="AQ905" s="84"/>
      <c r="AR905" s="84"/>
      <c r="AS905" s="84"/>
      <c r="AT905" s="84"/>
      <c r="AU905" s="84"/>
      <c r="AV905" s="84"/>
      <c r="AW905" s="84"/>
      <c r="AX905" s="84"/>
      <c r="AY905" s="84"/>
      <c r="AZ905" s="84"/>
      <c r="BA905" s="84"/>
      <c r="BB905" s="84"/>
      <c r="BC905" s="84"/>
      <c r="BD905" s="84"/>
      <c r="BE905" s="84">
        <v>0.2</v>
      </c>
      <c r="BF905" s="84"/>
      <c r="BG905" s="84"/>
      <c r="BH905" s="84"/>
      <c r="BI905" s="84"/>
      <c r="BJ905" s="78">
        <f t="shared" si="102"/>
        <v>0</v>
      </c>
      <c r="BK905" s="84"/>
      <c r="BL905" s="44">
        <v>41</v>
      </c>
      <c r="BM905" s="79">
        <f t="shared" si="106"/>
        <v>0</v>
      </c>
      <c r="BN905" s="75"/>
      <c r="BO905" s="75"/>
    </row>
    <row r="906" spans="1:67" s="4" customFormat="1" x14ac:dyDescent="0.3">
      <c r="A906" s="48">
        <v>189</v>
      </c>
      <c r="B906" s="42" t="s">
        <v>306</v>
      </c>
      <c r="C906" s="48" t="s">
        <v>29</v>
      </c>
      <c r="D906" s="41">
        <v>0.4</v>
      </c>
      <c r="E906" s="41"/>
      <c r="F906" s="41">
        <v>0.4</v>
      </c>
      <c r="G906" s="39"/>
      <c r="H906" s="39"/>
      <c r="I906" s="39"/>
      <c r="J906" s="39">
        <f t="shared" si="108"/>
        <v>0.4</v>
      </c>
      <c r="K906" s="42" t="s">
        <v>420</v>
      </c>
      <c r="L906" s="42" t="s">
        <v>415</v>
      </c>
      <c r="M906" s="43">
        <v>3</v>
      </c>
      <c r="N906" s="210">
        <v>737</v>
      </c>
      <c r="O906" s="43"/>
      <c r="P906" s="84"/>
      <c r="Q906" s="84"/>
      <c r="R906" s="84"/>
      <c r="S906" s="84"/>
      <c r="T906" s="84"/>
      <c r="U906" s="84"/>
      <c r="V906" s="84"/>
      <c r="W906" s="84"/>
      <c r="X906" s="84"/>
      <c r="Y906" s="84"/>
      <c r="Z906" s="84"/>
      <c r="AA906" s="84">
        <v>0.09</v>
      </c>
      <c r="AB906" s="84"/>
      <c r="AC906" s="84"/>
      <c r="AD906" s="84"/>
      <c r="AE906" s="84"/>
      <c r="AF906" s="84"/>
      <c r="AG906" s="84"/>
      <c r="AH906" s="84"/>
      <c r="AI906" s="84"/>
      <c r="AJ906" s="84"/>
      <c r="AK906" s="84"/>
      <c r="AL906" s="84"/>
      <c r="AM906" s="84"/>
      <c r="AN906" s="84"/>
      <c r="AO906" s="84"/>
      <c r="AP906" s="84"/>
      <c r="AQ906" s="84"/>
      <c r="AR906" s="84"/>
      <c r="AS906" s="84"/>
      <c r="AT906" s="84"/>
      <c r="AU906" s="84"/>
      <c r="AV906" s="84"/>
      <c r="AW906" s="84"/>
      <c r="AX906" s="84"/>
      <c r="AY906" s="84"/>
      <c r="AZ906" s="84"/>
      <c r="BA906" s="84"/>
      <c r="BB906" s="84"/>
      <c r="BC906" s="84"/>
      <c r="BD906" s="84"/>
      <c r="BE906" s="84">
        <v>0.31</v>
      </c>
      <c r="BF906" s="84"/>
      <c r="BG906" s="84"/>
      <c r="BH906" s="84"/>
      <c r="BI906" s="84"/>
      <c r="BJ906" s="78">
        <f t="shared" si="102"/>
        <v>0</v>
      </c>
      <c r="BK906" s="84"/>
      <c r="BL906" s="44">
        <v>41</v>
      </c>
      <c r="BM906" s="79">
        <f t="shared" si="106"/>
        <v>0</v>
      </c>
      <c r="BN906" s="75"/>
      <c r="BO906" s="75"/>
    </row>
    <row r="907" spans="1:67" s="4" customFormat="1" ht="24.75" customHeight="1" x14ac:dyDescent="0.3">
      <c r="A907" s="48">
        <v>190</v>
      </c>
      <c r="B907" s="42" t="s">
        <v>306</v>
      </c>
      <c r="C907" s="48" t="s">
        <v>29</v>
      </c>
      <c r="D907" s="41">
        <f>0.42+0.85+1.04</f>
        <v>2.31</v>
      </c>
      <c r="E907" s="41"/>
      <c r="F907" s="41">
        <v>2.31</v>
      </c>
      <c r="G907" s="39">
        <v>0.85</v>
      </c>
      <c r="H907" s="39"/>
      <c r="I907" s="39"/>
      <c r="J907" s="39">
        <f t="shared" si="108"/>
        <v>1.46</v>
      </c>
      <c r="K907" s="42" t="s">
        <v>418</v>
      </c>
      <c r="L907" s="42" t="s">
        <v>415</v>
      </c>
      <c r="M907" s="43">
        <v>4</v>
      </c>
      <c r="N907" s="210">
        <v>738</v>
      </c>
      <c r="O907" s="43"/>
      <c r="P907" s="84"/>
      <c r="Q907" s="84"/>
      <c r="R907" s="84"/>
      <c r="S907" s="84"/>
      <c r="T907" s="84"/>
      <c r="U907" s="84"/>
      <c r="V907" s="84"/>
      <c r="W907" s="84"/>
      <c r="X907" s="84"/>
      <c r="Y907" s="84"/>
      <c r="Z907" s="84">
        <f>0.32+0.11</f>
        <v>0.43</v>
      </c>
      <c r="AA907" s="84"/>
      <c r="AB907" s="84"/>
      <c r="AC907" s="84"/>
      <c r="AD907" s="84"/>
      <c r="AE907" s="84"/>
      <c r="AF907" s="84"/>
      <c r="AG907" s="84"/>
      <c r="AH907" s="84"/>
      <c r="AI907" s="84"/>
      <c r="AJ907" s="84"/>
      <c r="AK907" s="84"/>
      <c r="AL907" s="84"/>
      <c r="AM907" s="84"/>
      <c r="AN907" s="84"/>
      <c r="AO907" s="84"/>
      <c r="AP907" s="84"/>
      <c r="AQ907" s="84">
        <f>2.31-1.78</f>
        <v>0.53</v>
      </c>
      <c r="AR907" s="84"/>
      <c r="AS907" s="84"/>
      <c r="AT907" s="84"/>
      <c r="AU907" s="84"/>
      <c r="AV907" s="84"/>
      <c r="AW907" s="84"/>
      <c r="AX907" s="84"/>
      <c r="AY907" s="84"/>
      <c r="AZ907" s="84"/>
      <c r="BA907" s="84"/>
      <c r="BB907" s="84"/>
      <c r="BC907" s="84"/>
      <c r="BD907" s="84"/>
      <c r="BE907" s="84">
        <f>0.1+0.4</f>
        <v>0.5</v>
      </c>
      <c r="BF907" s="84"/>
      <c r="BG907" s="84"/>
      <c r="BH907" s="84"/>
      <c r="BI907" s="84"/>
      <c r="BJ907" s="78">
        <f t="shared" si="102"/>
        <v>0</v>
      </c>
      <c r="BK907" s="84"/>
      <c r="BL907" s="44">
        <v>41</v>
      </c>
      <c r="BM907" s="79">
        <f t="shared" si="106"/>
        <v>0</v>
      </c>
      <c r="BN907" s="75"/>
      <c r="BO907" s="75"/>
    </row>
    <row r="908" spans="1:67" s="4" customFormat="1" ht="31.2" x14ac:dyDescent="0.3">
      <c r="A908" s="48">
        <v>191</v>
      </c>
      <c r="B908" s="42" t="s">
        <v>306</v>
      </c>
      <c r="C908" s="48" t="s">
        <v>29</v>
      </c>
      <c r="D908" s="39">
        <f>4.2-0.87+0.55</f>
        <v>3.88</v>
      </c>
      <c r="E908" s="39"/>
      <c r="F908" s="39">
        <v>3.88</v>
      </c>
      <c r="G908" s="39">
        <f>3.88-0.25</f>
        <v>3.63</v>
      </c>
      <c r="H908" s="39"/>
      <c r="I908" s="39"/>
      <c r="J908" s="39">
        <f t="shared" si="108"/>
        <v>0.25</v>
      </c>
      <c r="K908" s="42" t="s">
        <v>437</v>
      </c>
      <c r="L908" s="42" t="s">
        <v>415</v>
      </c>
      <c r="M908" s="43">
        <v>5</v>
      </c>
      <c r="N908" s="210">
        <v>739</v>
      </c>
      <c r="O908" s="43"/>
      <c r="P908" s="84"/>
      <c r="Q908" s="84"/>
      <c r="R908" s="84"/>
      <c r="S908" s="84"/>
      <c r="T908" s="84"/>
      <c r="U908" s="84"/>
      <c r="V908" s="84"/>
      <c r="W908" s="84"/>
      <c r="X908" s="84"/>
      <c r="Y908" s="84"/>
      <c r="Z908" s="84"/>
      <c r="AA908" s="84"/>
      <c r="AB908" s="84"/>
      <c r="AC908" s="84"/>
      <c r="AD908" s="84"/>
      <c r="AE908" s="84"/>
      <c r="AF908" s="84"/>
      <c r="AG908" s="84"/>
      <c r="AH908" s="84"/>
      <c r="AI908" s="84"/>
      <c r="AJ908" s="84"/>
      <c r="AK908" s="84"/>
      <c r="AL908" s="84"/>
      <c r="AM908" s="84"/>
      <c r="AN908" s="84"/>
      <c r="AO908" s="84"/>
      <c r="AP908" s="84"/>
      <c r="AQ908" s="84">
        <v>0.25</v>
      </c>
      <c r="AR908" s="84"/>
      <c r="AS908" s="84"/>
      <c r="AT908" s="84"/>
      <c r="AU908" s="84"/>
      <c r="AV908" s="84"/>
      <c r="AW908" s="84"/>
      <c r="AX908" s="84"/>
      <c r="AY908" s="84"/>
      <c r="AZ908" s="84"/>
      <c r="BA908" s="84"/>
      <c r="BB908" s="84"/>
      <c r="BC908" s="84"/>
      <c r="BD908" s="84"/>
      <c r="BE908" s="84"/>
      <c r="BF908" s="84"/>
      <c r="BG908" s="84"/>
      <c r="BH908" s="84"/>
      <c r="BI908" s="84"/>
      <c r="BJ908" s="78">
        <f t="shared" si="102"/>
        <v>0</v>
      </c>
      <c r="BK908" s="84"/>
      <c r="BL908" s="44">
        <v>41</v>
      </c>
      <c r="BM908" s="79">
        <f t="shared" si="106"/>
        <v>0</v>
      </c>
      <c r="BN908" s="75"/>
      <c r="BO908" s="75"/>
    </row>
    <row r="909" spans="1:67" s="4" customFormat="1" ht="31.2" x14ac:dyDescent="0.3">
      <c r="A909" s="48">
        <v>192</v>
      </c>
      <c r="B909" s="42" t="s">
        <v>306</v>
      </c>
      <c r="C909" s="48" t="s">
        <v>29</v>
      </c>
      <c r="D909" s="39">
        <v>2.74</v>
      </c>
      <c r="E909" s="39"/>
      <c r="F909" s="39">
        <v>2.74</v>
      </c>
      <c r="G909" s="39">
        <v>0.74</v>
      </c>
      <c r="H909" s="39"/>
      <c r="I909" s="39"/>
      <c r="J909" s="39">
        <f t="shared" si="108"/>
        <v>2</v>
      </c>
      <c r="K909" s="42" t="s">
        <v>438</v>
      </c>
      <c r="L909" s="42" t="s">
        <v>415</v>
      </c>
      <c r="M909" s="43">
        <v>6</v>
      </c>
      <c r="N909" s="210">
        <v>740</v>
      </c>
      <c r="O909" s="43"/>
      <c r="P909" s="84"/>
      <c r="Q909" s="84"/>
      <c r="R909" s="84"/>
      <c r="S909" s="84"/>
      <c r="T909" s="84"/>
      <c r="U909" s="84"/>
      <c r="V909" s="84"/>
      <c r="W909" s="84"/>
      <c r="X909" s="84"/>
      <c r="Y909" s="84"/>
      <c r="Z909" s="84">
        <v>2</v>
      </c>
      <c r="AA909" s="84"/>
      <c r="AB909" s="84"/>
      <c r="AC909" s="84"/>
      <c r="AD909" s="84"/>
      <c r="AE909" s="84"/>
      <c r="AF909" s="84"/>
      <c r="AG909" s="84"/>
      <c r="AH909" s="84"/>
      <c r="AI909" s="84"/>
      <c r="AJ909" s="84"/>
      <c r="AK909" s="84"/>
      <c r="AL909" s="84"/>
      <c r="AM909" s="84"/>
      <c r="AN909" s="84"/>
      <c r="AO909" s="84"/>
      <c r="AP909" s="84"/>
      <c r="AQ909" s="84"/>
      <c r="AR909" s="84"/>
      <c r="AS909" s="84"/>
      <c r="AT909" s="84"/>
      <c r="AU909" s="84"/>
      <c r="AV909" s="84"/>
      <c r="AW909" s="84"/>
      <c r="AX909" s="84"/>
      <c r="AY909" s="84"/>
      <c r="AZ909" s="84"/>
      <c r="BA909" s="84"/>
      <c r="BB909" s="84"/>
      <c r="BC909" s="84"/>
      <c r="BD909" s="84"/>
      <c r="BE909" s="84"/>
      <c r="BF909" s="84"/>
      <c r="BG909" s="84"/>
      <c r="BH909" s="84"/>
      <c r="BI909" s="84"/>
      <c r="BJ909" s="78">
        <f t="shared" si="102"/>
        <v>0</v>
      </c>
      <c r="BK909" s="84"/>
      <c r="BL909" s="44">
        <v>41</v>
      </c>
      <c r="BM909" s="79">
        <f t="shared" si="106"/>
        <v>0</v>
      </c>
      <c r="BN909" s="75"/>
      <c r="BO909" s="75"/>
    </row>
    <row r="910" spans="1:67" s="4" customFormat="1" x14ac:dyDescent="0.3">
      <c r="A910" s="48">
        <v>193</v>
      </c>
      <c r="B910" s="42" t="s">
        <v>306</v>
      </c>
      <c r="C910" s="48" t="s">
        <v>29</v>
      </c>
      <c r="D910" s="39">
        <f>6.85+6.13</f>
        <v>12.98</v>
      </c>
      <c r="E910" s="39"/>
      <c r="F910" s="39">
        <f>6.85+6.13</f>
        <v>12.98</v>
      </c>
      <c r="G910" s="39">
        <f>12.98-3.5</f>
        <v>9.48</v>
      </c>
      <c r="H910" s="39"/>
      <c r="I910" s="39"/>
      <c r="J910" s="39">
        <f t="shared" si="108"/>
        <v>3.5000000000000004</v>
      </c>
      <c r="K910" s="42" t="s">
        <v>435</v>
      </c>
      <c r="L910" s="42" t="s">
        <v>415</v>
      </c>
      <c r="M910" s="43">
        <v>7</v>
      </c>
      <c r="N910" s="210">
        <v>741</v>
      </c>
      <c r="O910" s="43"/>
      <c r="P910" s="84"/>
      <c r="Q910" s="84"/>
      <c r="R910" s="84"/>
      <c r="S910" s="84"/>
      <c r="T910" s="84"/>
      <c r="U910" s="84"/>
      <c r="V910" s="84"/>
      <c r="W910" s="84"/>
      <c r="X910" s="84"/>
      <c r="Y910" s="84"/>
      <c r="Z910" s="84">
        <f>0.03+0.07+0.04+0.06+0.09+0.09+0.26+0.1+0.3+0.2+0.09+0.03+0.13+0.31+0.09+0.07+0.32+0.2+0.6+0.07</f>
        <v>3.1500000000000004</v>
      </c>
      <c r="AA910" s="84"/>
      <c r="AB910" s="84"/>
      <c r="AC910" s="84"/>
      <c r="AD910" s="84"/>
      <c r="AE910" s="84"/>
      <c r="AF910" s="84"/>
      <c r="AG910" s="84"/>
      <c r="AH910" s="84"/>
      <c r="AI910" s="84"/>
      <c r="AJ910" s="84"/>
      <c r="AK910" s="84"/>
      <c r="AL910" s="84"/>
      <c r="AM910" s="84"/>
      <c r="AN910" s="84"/>
      <c r="AO910" s="84"/>
      <c r="AP910" s="84"/>
      <c r="AQ910" s="84"/>
      <c r="AR910" s="84"/>
      <c r="AS910" s="84"/>
      <c r="AT910" s="84"/>
      <c r="AU910" s="84"/>
      <c r="AV910" s="84"/>
      <c r="AW910" s="84"/>
      <c r="AX910" s="84"/>
      <c r="AY910" s="84"/>
      <c r="AZ910" s="84"/>
      <c r="BA910" s="84"/>
      <c r="BB910" s="84"/>
      <c r="BC910" s="84"/>
      <c r="BD910" s="84"/>
      <c r="BE910" s="84">
        <v>0.35</v>
      </c>
      <c r="BF910" s="84"/>
      <c r="BG910" s="84"/>
      <c r="BH910" s="84"/>
      <c r="BI910" s="84"/>
      <c r="BJ910" s="78">
        <f t="shared" si="102"/>
        <v>0</v>
      </c>
      <c r="BK910" s="84"/>
      <c r="BL910" s="44">
        <v>41</v>
      </c>
      <c r="BM910" s="79">
        <f t="shared" si="106"/>
        <v>0</v>
      </c>
      <c r="BN910" s="75"/>
      <c r="BO910" s="75"/>
    </row>
    <row r="911" spans="1:67" s="4" customFormat="1" x14ac:dyDescent="0.3">
      <c r="A911" s="48">
        <v>194</v>
      </c>
      <c r="B911" s="42" t="s">
        <v>306</v>
      </c>
      <c r="C911" s="48" t="s">
        <v>29</v>
      </c>
      <c r="D911" s="39">
        <v>1.25</v>
      </c>
      <c r="E911" s="39"/>
      <c r="F911" s="39">
        <v>1.25</v>
      </c>
      <c r="G911" s="39">
        <v>1.25</v>
      </c>
      <c r="H911" s="39"/>
      <c r="I911" s="39"/>
      <c r="J911" s="39">
        <f t="shared" si="108"/>
        <v>0</v>
      </c>
      <c r="K911" s="42" t="s">
        <v>439</v>
      </c>
      <c r="L911" s="42" t="s">
        <v>415</v>
      </c>
      <c r="M911" s="43">
        <v>8</v>
      </c>
      <c r="N911" s="210">
        <v>742</v>
      </c>
      <c r="O911" s="43"/>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L911" s="84"/>
      <c r="AM911" s="84"/>
      <c r="AN911" s="84"/>
      <c r="AO911" s="84"/>
      <c r="AP911" s="84"/>
      <c r="AQ911" s="84"/>
      <c r="AR911" s="84"/>
      <c r="AS911" s="84"/>
      <c r="AT911" s="84"/>
      <c r="AU911" s="84"/>
      <c r="AV911" s="84"/>
      <c r="AW911" s="84"/>
      <c r="AX911" s="84"/>
      <c r="AY911" s="84"/>
      <c r="AZ911" s="84"/>
      <c r="BA911" s="84"/>
      <c r="BB911" s="84"/>
      <c r="BC911" s="84"/>
      <c r="BD911" s="84"/>
      <c r="BE911" s="84"/>
      <c r="BF911" s="84"/>
      <c r="BG911" s="84"/>
      <c r="BH911" s="84"/>
      <c r="BI911" s="84"/>
      <c r="BJ911" s="78">
        <f t="shared" si="102"/>
        <v>0</v>
      </c>
      <c r="BK911" s="84"/>
      <c r="BL911" s="44">
        <v>41</v>
      </c>
      <c r="BM911" s="79">
        <f t="shared" si="106"/>
        <v>0</v>
      </c>
      <c r="BN911" s="75"/>
      <c r="BO911" s="75"/>
    </row>
    <row r="912" spans="1:67" s="4" customFormat="1" ht="31.2" x14ac:dyDescent="0.3">
      <c r="A912" s="48">
        <v>195</v>
      </c>
      <c r="B912" s="42" t="s">
        <v>306</v>
      </c>
      <c r="C912" s="48" t="s">
        <v>29</v>
      </c>
      <c r="D912" s="39">
        <f>1.57+0.05</f>
        <v>1.62</v>
      </c>
      <c r="E912" s="39"/>
      <c r="F912" s="39">
        <f>1.57+0.05</f>
        <v>1.62</v>
      </c>
      <c r="G912" s="39">
        <f>1.62-0.8</f>
        <v>0.82000000000000006</v>
      </c>
      <c r="H912" s="39"/>
      <c r="I912" s="39"/>
      <c r="J912" s="39">
        <f t="shared" si="108"/>
        <v>0.8</v>
      </c>
      <c r="K912" s="42" t="s">
        <v>440</v>
      </c>
      <c r="L912" s="42" t="s">
        <v>415</v>
      </c>
      <c r="M912" s="43">
        <v>9</v>
      </c>
      <c r="N912" s="210">
        <v>743</v>
      </c>
      <c r="O912" s="43"/>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L912" s="84"/>
      <c r="AM912" s="84"/>
      <c r="AN912" s="84"/>
      <c r="AO912" s="84"/>
      <c r="AP912" s="84"/>
      <c r="AQ912" s="84"/>
      <c r="AR912" s="84"/>
      <c r="AS912" s="84"/>
      <c r="AT912" s="84"/>
      <c r="AU912" s="84"/>
      <c r="AV912" s="84"/>
      <c r="AW912" s="84"/>
      <c r="AX912" s="84"/>
      <c r="AY912" s="84"/>
      <c r="AZ912" s="84"/>
      <c r="BA912" s="84"/>
      <c r="BB912" s="84"/>
      <c r="BC912" s="84"/>
      <c r="BD912" s="84"/>
      <c r="BE912" s="84">
        <f>0.05+0.1+0.24+0.41</f>
        <v>0.8</v>
      </c>
      <c r="BF912" s="84"/>
      <c r="BG912" s="84"/>
      <c r="BH912" s="84"/>
      <c r="BI912" s="84"/>
      <c r="BJ912" s="78">
        <f t="shared" si="102"/>
        <v>0</v>
      </c>
      <c r="BK912" s="84"/>
      <c r="BL912" s="44">
        <v>41</v>
      </c>
      <c r="BM912" s="79">
        <f t="shared" si="106"/>
        <v>0</v>
      </c>
      <c r="BN912" s="75"/>
      <c r="BO912" s="75"/>
    </row>
    <row r="913" spans="1:67" s="4" customFormat="1" x14ac:dyDescent="0.3">
      <c r="A913" s="48">
        <v>196</v>
      </c>
      <c r="B913" s="42" t="s">
        <v>306</v>
      </c>
      <c r="C913" s="48" t="s">
        <v>29</v>
      </c>
      <c r="D913" s="39">
        <f>0.83+0.06+0.27</f>
        <v>1.1599999999999999</v>
      </c>
      <c r="E913" s="39"/>
      <c r="F913" s="39">
        <f>0.83+0.06+0.27</f>
        <v>1.1599999999999999</v>
      </c>
      <c r="G913" s="39">
        <f>1.16-0.37-0.23</f>
        <v>0.55999999999999994</v>
      </c>
      <c r="H913" s="39"/>
      <c r="I913" s="39"/>
      <c r="J913" s="39">
        <f t="shared" si="108"/>
        <v>0.6</v>
      </c>
      <c r="K913" s="42" t="s">
        <v>439</v>
      </c>
      <c r="L913" s="42" t="s">
        <v>415</v>
      </c>
      <c r="M913" s="43">
        <v>10</v>
      </c>
      <c r="N913" s="210">
        <v>744</v>
      </c>
      <c r="O913" s="43"/>
      <c r="P913" s="84"/>
      <c r="Q913" s="84"/>
      <c r="R913" s="84"/>
      <c r="S913" s="84"/>
      <c r="T913" s="84"/>
      <c r="U913" s="84"/>
      <c r="V913" s="84"/>
      <c r="W913" s="84"/>
      <c r="X913" s="84"/>
      <c r="Y913" s="84"/>
      <c r="Z913" s="84"/>
      <c r="AA913" s="84"/>
      <c r="AB913" s="84">
        <f>0.1</f>
        <v>0.1</v>
      </c>
      <c r="AC913" s="84"/>
      <c r="AD913" s="84"/>
      <c r="AE913" s="84"/>
      <c r="AF913" s="84"/>
      <c r="AG913" s="84"/>
      <c r="AH913" s="84"/>
      <c r="AI913" s="84"/>
      <c r="AJ913" s="84"/>
      <c r="AK913" s="84"/>
      <c r="AL913" s="84"/>
      <c r="AM913" s="84"/>
      <c r="AN913" s="84"/>
      <c r="AO913" s="84"/>
      <c r="AP913" s="84"/>
      <c r="AQ913" s="84"/>
      <c r="AR913" s="84"/>
      <c r="AS913" s="84"/>
      <c r="AT913" s="84"/>
      <c r="AU913" s="84"/>
      <c r="AV913" s="84"/>
      <c r="AW913" s="84"/>
      <c r="AX913" s="84"/>
      <c r="AY913" s="84"/>
      <c r="AZ913" s="84"/>
      <c r="BA913" s="84"/>
      <c r="BB913" s="84"/>
      <c r="BC913" s="84"/>
      <c r="BD913" s="84"/>
      <c r="BE913" s="84">
        <f>0.11+0.1+0.06+0.23</f>
        <v>0.5</v>
      </c>
      <c r="BF913" s="84"/>
      <c r="BG913" s="84"/>
      <c r="BH913" s="84"/>
      <c r="BI913" s="84"/>
      <c r="BJ913" s="78">
        <f t="shared" si="102"/>
        <v>0</v>
      </c>
      <c r="BK913" s="84"/>
      <c r="BL913" s="44">
        <v>41</v>
      </c>
      <c r="BM913" s="79">
        <f t="shared" si="106"/>
        <v>0</v>
      </c>
      <c r="BN913" s="75"/>
      <c r="BO913" s="75"/>
    </row>
    <row r="914" spans="1:67" s="4" customFormat="1" x14ac:dyDescent="0.3">
      <c r="A914" s="48">
        <v>197</v>
      </c>
      <c r="B914" s="42" t="s">
        <v>306</v>
      </c>
      <c r="C914" s="48" t="s">
        <v>29</v>
      </c>
      <c r="D914" s="39">
        <f>0.87+0.53+0.1</f>
        <v>1.5</v>
      </c>
      <c r="E914" s="39"/>
      <c r="F914" s="39">
        <f>0.87+0.53+0.1</f>
        <v>1.5</v>
      </c>
      <c r="G914" s="39">
        <v>0.28000000000000003</v>
      </c>
      <c r="H914" s="39"/>
      <c r="I914" s="39"/>
      <c r="J914" s="39">
        <f t="shared" si="108"/>
        <v>1.22</v>
      </c>
      <c r="K914" s="42" t="s">
        <v>430</v>
      </c>
      <c r="L914" s="42" t="s">
        <v>415</v>
      </c>
      <c r="M914" s="43">
        <v>11</v>
      </c>
      <c r="N914" s="210">
        <v>745</v>
      </c>
      <c r="O914" s="43"/>
      <c r="P914" s="84"/>
      <c r="Q914" s="84"/>
      <c r="R914" s="84"/>
      <c r="S914" s="84"/>
      <c r="T914" s="84"/>
      <c r="U914" s="84"/>
      <c r="V914" s="84"/>
      <c r="W914" s="84"/>
      <c r="X914" s="84"/>
      <c r="Y914" s="84"/>
      <c r="Z914" s="84">
        <f>0.53-0.28+0.05</f>
        <v>0.3</v>
      </c>
      <c r="AA914" s="84"/>
      <c r="AB914" s="84"/>
      <c r="AC914" s="84"/>
      <c r="AD914" s="84"/>
      <c r="AE914" s="84"/>
      <c r="AF914" s="84"/>
      <c r="AG914" s="84"/>
      <c r="AH914" s="84"/>
      <c r="AI914" s="84"/>
      <c r="AJ914" s="84"/>
      <c r="AK914" s="84"/>
      <c r="AL914" s="84"/>
      <c r="AM914" s="84"/>
      <c r="AN914" s="84"/>
      <c r="AO914" s="84"/>
      <c r="AP914" s="84"/>
      <c r="AQ914" s="84"/>
      <c r="AR914" s="84"/>
      <c r="AS914" s="84"/>
      <c r="AT914" s="84"/>
      <c r="AU914" s="84"/>
      <c r="AV914" s="84"/>
      <c r="AW914" s="84"/>
      <c r="AX914" s="84"/>
      <c r="AY914" s="84"/>
      <c r="AZ914" s="84"/>
      <c r="BA914" s="84"/>
      <c r="BB914" s="84"/>
      <c r="BC914" s="84"/>
      <c r="BD914" s="84"/>
      <c r="BE914" s="84">
        <f>0.87+0.1-0.05</f>
        <v>0.91999999999999993</v>
      </c>
      <c r="BF914" s="84"/>
      <c r="BG914" s="84"/>
      <c r="BH914" s="84"/>
      <c r="BI914" s="84"/>
      <c r="BJ914" s="78">
        <f t="shared" si="102"/>
        <v>0</v>
      </c>
      <c r="BK914" s="84"/>
      <c r="BL914" s="44">
        <v>41</v>
      </c>
      <c r="BM914" s="79">
        <f t="shared" si="106"/>
        <v>0</v>
      </c>
      <c r="BN914" s="75"/>
      <c r="BO914" s="75"/>
    </row>
    <row r="915" spans="1:67" s="4" customFormat="1" x14ac:dyDescent="0.3">
      <c r="A915" s="48">
        <v>198</v>
      </c>
      <c r="B915" s="42" t="s">
        <v>306</v>
      </c>
      <c r="C915" s="48" t="s">
        <v>29</v>
      </c>
      <c r="D915" s="39">
        <v>2.2000000000000002</v>
      </c>
      <c r="E915" s="39"/>
      <c r="F915" s="39">
        <v>2.2000000000000002</v>
      </c>
      <c r="G915" s="39"/>
      <c r="H915" s="39"/>
      <c r="I915" s="39"/>
      <c r="J915" s="39">
        <f t="shared" si="108"/>
        <v>2.2000000000000002</v>
      </c>
      <c r="K915" s="42" t="s">
        <v>423</v>
      </c>
      <c r="L915" s="42" t="s">
        <v>415</v>
      </c>
      <c r="M915" s="43">
        <v>13</v>
      </c>
      <c r="N915" s="210">
        <v>746</v>
      </c>
      <c r="O915" s="43"/>
      <c r="P915" s="84"/>
      <c r="Q915" s="84"/>
      <c r="R915" s="84"/>
      <c r="S915" s="84"/>
      <c r="T915" s="84"/>
      <c r="U915" s="84"/>
      <c r="V915" s="84"/>
      <c r="W915" s="84"/>
      <c r="X915" s="84"/>
      <c r="Y915" s="84"/>
      <c r="Z915" s="84">
        <f>1.1-0.35+0.03+0.3</f>
        <v>1.08</v>
      </c>
      <c r="AA915" s="84">
        <v>0.13</v>
      </c>
      <c r="AB915" s="84">
        <f>0.09+0.1+0.06+0.05+0.04+0.04</f>
        <v>0.37999999999999995</v>
      </c>
      <c r="AC915" s="84"/>
      <c r="AD915" s="84"/>
      <c r="AE915" s="84"/>
      <c r="AF915" s="84"/>
      <c r="AG915" s="84"/>
      <c r="AH915" s="84"/>
      <c r="AI915" s="84"/>
      <c r="AJ915" s="84"/>
      <c r="AK915" s="84"/>
      <c r="AL915" s="84"/>
      <c r="AM915" s="84"/>
      <c r="AN915" s="84"/>
      <c r="AO915" s="84"/>
      <c r="AP915" s="84"/>
      <c r="AQ915" s="84"/>
      <c r="AR915" s="84"/>
      <c r="AS915" s="84"/>
      <c r="AT915" s="84"/>
      <c r="AU915" s="84"/>
      <c r="AV915" s="84"/>
      <c r="AW915" s="84"/>
      <c r="AX915" s="84"/>
      <c r="AY915" s="84"/>
      <c r="AZ915" s="84"/>
      <c r="BA915" s="84"/>
      <c r="BB915" s="84"/>
      <c r="BC915" s="84"/>
      <c r="BD915" s="84"/>
      <c r="BE915" s="84">
        <f>0.35+0.02+0.08+0.09+0.07</f>
        <v>0.6100000000000001</v>
      </c>
      <c r="BF915" s="84"/>
      <c r="BG915" s="84"/>
      <c r="BH915" s="84"/>
      <c r="BI915" s="84"/>
      <c r="BJ915" s="78">
        <f t="shared" si="102"/>
        <v>0</v>
      </c>
      <c r="BK915" s="84"/>
      <c r="BL915" s="44">
        <v>41</v>
      </c>
      <c r="BM915" s="79">
        <f t="shared" si="106"/>
        <v>0</v>
      </c>
      <c r="BN915" s="75"/>
      <c r="BO915" s="75"/>
    </row>
    <row r="916" spans="1:67" s="4" customFormat="1" x14ac:dyDescent="0.3">
      <c r="A916" s="48">
        <v>199</v>
      </c>
      <c r="B916" s="42" t="s">
        <v>306</v>
      </c>
      <c r="C916" s="48" t="s">
        <v>29</v>
      </c>
      <c r="D916" s="39">
        <f>2.25+0.13</f>
        <v>2.38</v>
      </c>
      <c r="E916" s="39"/>
      <c r="F916" s="39">
        <f>2.25+0.13</f>
        <v>2.38</v>
      </c>
      <c r="G916" s="39">
        <f>2.25-0.42</f>
        <v>1.83</v>
      </c>
      <c r="H916" s="39"/>
      <c r="I916" s="39"/>
      <c r="J916" s="39">
        <f t="shared" si="108"/>
        <v>0.55000000000000004</v>
      </c>
      <c r="K916" s="42" t="s">
        <v>420</v>
      </c>
      <c r="L916" s="42" t="s">
        <v>415</v>
      </c>
      <c r="M916" s="43">
        <v>20</v>
      </c>
      <c r="N916" s="210">
        <v>747</v>
      </c>
      <c r="O916" s="43"/>
      <c r="P916" s="84"/>
      <c r="Q916" s="84"/>
      <c r="R916" s="84"/>
      <c r="S916" s="84"/>
      <c r="T916" s="84"/>
      <c r="U916" s="84"/>
      <c r="V916" s="84"/>
      <c r="W916" s="84"/>
      <c r="X916" s="84"/>
      <c r="Y916" s="84"/>
      <c r="Z916" s="84">
        <f>0.08+0.05+0.04+0.1</f>
        <v>0.27</v>
      </c>
      <c r="AA916" s="84">
        <v>0.13</v>
      </c>
      <c r="AB916" s="84"/>
      <c r="AC916" s="84"/>
      <c r="AD916" s="84"/>
      <c r="AE916" s="84"/>
      <c r="AF916" s="84"/>
      <c r="AG916" s="84"/>
      <c r="AH916" s="84"/>
      <c r="AI916" s="84"/>
      <c r="AJ916" s="84"/>
      <c r="AK916" s="84"/>
      <c r="AL916" s="84"/>
      <c r="AM916" s="84"/>
      <c r="AN916" s="84"/>
      <c r="AO916" s="84"/>
      <c r="AP916" s="84"/>
      <c r="AQ916" s="84"/>
      <c r="AR916" s="84"/>
      <c r="AS916" s="84"/>
      <c r="AT916" s="84"/>
      <c r="AU916" s="84"/>
      <c r="AV916" s="84"/>
      <c r="AW916" s="84"/>
      <c r="AX916" s="84"/>
      <c r="AY916" s="84"/>
      <c r="AZ916" s="84"/>
      <c r="BA916" s="84"/>
      <c r="BB916" s="84"/>
      <c r="BC916" s="84"/>
      <c r="BD916" s="84"/>
      <c r="BE916" s="84">
        <f>0.1+0.05</f>
        <v>0.15000000000000002</v>
      </c>
      <c r="BF916" s="84"/>
      <c r="BG916" s="84"/>
      <c r="BH916" s="84"/>
      <c r="BI916" s="84"/>
      <c r="BJ916" s="78">
        <f t="shared" si="102"/>
        <v>0</v>
      </c>
      <c r="BK916" s="84"/>
      <c r="BL916" s="44">
        <v>41</v>
      </c>
      <c r="BM916" s="79">
        <f t="shared" si="106"/>
        <v>0</v>
      </c>
      <c r="BN916" s="75"/>
      <c r="BO916" s="75"/>
    </row>
    <row r="917" spans="1:67" s="4" customFormat="1" x14ac:dyDescent="0.3">
      <c r="A917" s="48">
        <v>200</v>
      </c>
      <c r="B917" s="42" t="s">
        <v>306</v>
      </c>
      <c r="C917" s="48" t="s">
        <v>29</v>
      </c>
      <c r="D917" s="39">
        <f>0.94+0.95+1.11+1.17+1.15+0.37</f>
        <v>5.69</v>
      </c>
      <c r="E917" s="39"/>
      <c r="F917" s="39">
        <v>5.69</v>
      </c>
      <c r="G917" s="39">
        <v>5.69</v>
      </c>
      <c r="H917" s="39"/>
      <c r="I917" s="39"/>
      <c r="J917" s="39">
        <f t="shared" si="108"/>
        <v>0</v>
      </c>
      <c r="K917" s="42" t="s">
        <v>416</v>
      </c>
      <c r="L917" s="42" t="s">
        <v>415</v>
      </c>
      <c r="M917" s="43">
        <v>26</v>
      </c>
      <c r="N917" s="210">
        <v>748</v>
      </c>
      <c r="O917" s="43"/>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917" s="84"/>
      <c r="AN917" s="84"/>
      <c r="AO917" s="84"/>
      <c r="AP917" s="84"/>
      <c r="AQ917" s="84"/>
      <c r="AR917" s="84"/>
      <c r="AS917" s="84"/>
      <c r="AT917" s="84"/>
      <c r="AU917" s="84"/>
      <c r="AV917" s="84"/>
      <c r="AW917" s="84"/>
      <c r="AX917" s="84"/>
      <c r="AY917" s="84"/>
      <c r="AZ917" s="84"/>
      <c r="BA917" s="84"/>
      <c r="BB917" s="84"/>
      <c r="BC917" s="84"/>
      <c r="BD917" s="84"/>
      <c r="BE917" s="84"/>
      <c r="BF917" s="84"/>
      <c r="BG917" s="84"/>
      <c r="BH917" s="84"/>
      <c r="BI917" s="84"/>
      <c r="BJ917" s="78">
        <f t="shared" si="102"/>
        <v>0</v>
      </c>
      <c r="BK917" s="84"/>
      <c r="BL917" s="44">
        <v>41</v>
      </c>
      <c r="BM917" s="79">
        <f t="shared" si="106"/>
        <v>0</v>
      </c>
      <c r="BN917" s="75"/>
      <c r="BO917" s="75"/>
    </row>
    <row r="918" spans="1:67" s="4" customFormat="1" x14ac:dyDescent="0.3">
      <c r="A918" s="48">
        <v>201</v>
      </c>
      <c r="B918" s="42" t="s">
        <v>306</v>
      </c>
      <c r="C918" s="48" t="s">
        <v>29</v>
      </c>
      <c r="D918" s="39">
        <v>1.84</v>
      </c>
      <c r="E918" s="39"/>
      <c r="F918" s="39">
        <v>1.84</v>
      </c>
      <c r="G918" s="39">
        <v>1.84</v>
      </c>
      <c r="H918" s="39"/>
      <c r="I918" s="39"/>
      <c r="J918" s="39">
        <f t="shared" si="108"/>
        <v>0</v>
      </c>
      <c r="K918" s="42" t="s">
        <v>441</v>
      </c>
      <c r="L918" s="42" t="s">
        <v>415</v>
      </c>
      <c r="M918" s="43">
        <v>27</v>
      </c>
      <c r="N918" s="210">
        <v>749</v>
      </c>
      <c r="O918" s="43"/>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918" s="84"/>
      <c r="AN918" s="84"/>
      <c r="AO918" s="84"/>
      <c r="AP918" s="84"/>
      <c r="AQ918" s="84"/>
      <c r="AR918" s="84"/>
      <c r="AS918" s="84"/>
      <c r="AT918" s="84"/>
      <c r="AU918" s="84"/>
      <c r="AV918" s="84"/>
      <c r="AW918" s="84"/>
      <c r="AX918" s="84"/>
      <c r="AY918" s="84"/>
      <c r="AZ918" s="84"/>
      <c r="BA918" s="84"/>
      <c r="BB918" s="84"/>
      <c r="BC918" s="84"/>
      <c r="BD918" s="84"/>
      <c r="BE918" s="84"/>
      <c r="BF918" s="84"/>
      <c r="BG918" s="84"/>
      <c r="BH918" s="84"/>
      <c r="BI918" s="84"/>
      <c r="BJ918" s="78">
        <f t="shared" si="102"/>
        <v>0</v>
      </c>
      <c r="BK918" s="84"/>
      <c r="BL918" s="44">
        <v>41</v>
      </c>
      <c r="BM918" s="79">
        <f t="shared" si="106"/>
        <v>0</v>
      </c>
      <c r="BN918" s="75"/>
      <c r="BO918" s="75"/>
    </row>
    <row r="919" spans="1:67" s="4" customFormat="1" x14ac:dyDescent="0.3">
      <c r="A919" s="48">
        <v>202</v>
      </c>
      <c r="B919" s="42" t="s">
        <v>306</v>
      </c>
      <c r="C919" s="48" t="s">
        <v>29</v>
      </c>
      <c r="D919" s="39">
        <f>4.8</f>
        <v>4.8</v>
      </c>
      <c r="E919" s="39"/>
      <c r="F919" s="39">
        <f>4.8</f>
        <v>4.8</v>
      </c>
      <c r="G919" s="39">
        <f>4.8</f>
        <v>4.8</v>
      </c>
      <c r="H919" s="39"/>
      <c r="I919" s="39"/>
      <c r="J919" s="39">
        <f t="shared" si="108"/>
        <v>0</v>
      </c>
      <c r="K919" s="42" t="s">
        <v>429</v>
      </c>
      <c r="L919" s="42" t="s">
        <v>415</v>
      </c>
      <c r="M919" s="43">
        <v>30</v>
      </c>
      <c r="N919" s="210">
        <v>750</v>
      </c>
      <c r="O919" s="43"/>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919" s="84"/>
      <c r="AN919" s="84"/>
      <c r="AO919" s="84"/>
      <c r="AP919" s="84"/>
      <c r="AQ919" s="84"/>
      <c r="AR919" s="84"/>
      <c r="AS919" s="84"/>
      <c r="AT919" s="84"/>
      <c r="AU919" s="84"/>
      <c r="AV919" s="84"/>
      <c r="AW919" s="84"/>
      <c r="AX919" s="84"/>
      <c r="AY919" s="84"/>
      <c r="AZ919" s="84"/>
      <c r="BA919" s="84"/>
      <c r="BB919" s="84"/>
      <c r="BC919" s="84"/>
      <c r="BD919" s="84"/>
      <c r="BE919" s="84"/>
      <c r="BF919" s="84"/>
      <c r="BG919" s="84"/>
      <c r="BH919" s="84"/>
      <c r="BI919" s="84"/>
      <c r="BJ919" s="78">
        <f t="shared" si="102"/>
        <v>0</v>
      </c>
      <c r="BK919" s="84"/>
      <c r="BL919" s="44">
        <v>41</v>
      </c>
      <c r="BM919" s="79">
        <f t="shared" si="106"/>
        <v>0</v>
      </c>
      <c r="BN919" s="75"/>
      <c r="BO919" s="75"/>
    </row>
    <row r="920" spans="1:67" s="4" customFormat="1" ht="31.2" x14ac:dyDescent="0.3">
      <c r="A920" s="48">
        <v>203</v>
      </c>
      <c r="B920" s="42" t="s">
        <v>306</v>
      </c>
      <c r="C920" s="48" t="s">
        <v>29</v>
      </c>
      <c r="D920" s="39">
        <v>4.1100000000000003</v>
      </c>
      <c r="E920" s="39"/>
      <c r="F920" s="39">
        <v>4.1100000000000003</v>
      </c>
      <c r="G920" s="39">
        <f>D920-X920-AA920-BE920</f>
        <v>1.5399999999999998</v>
      </c>
      <c r="H920" s="39"/>
      <c r="I920" s="39"/>
      <c r="J920" s="39">
        <f t="shared" si="108"/>
        <v>2.5700000000000003</v>
      </c>
      <c r="K920" s="42" t="s">
        <v>431</v>
      </c>
      <c r="L920" s="42" t="s">
        <v>415</v>
      </c>
      <c r="M920" s="43">
        <v>36</v>
      </c>
      <c r="N920" s="210">
        <v>751</v>
      </c>
      <c r="O920" s="43"/>
      <c r="P920" s="84"/>
      <c r="Q920" s="84"/>
      <c r="R920" s="84"/>
      <c r="S920" s="84"/>
      <c r="T920" s="84"/>
      <c r="U920" s="84"/>
      <c r="V920" s="84"/>
      <c r="W920" s="84"/>
      <c r="X920" s="84">
        <f>0.68+0.18</f>
        <v>0.8600000000000001</v>
      </c>
      <c r="Y920" s="84"/>
      <c r="Z920" s="84"/>
      <c r="AA920" s="84">
        <v>0.6</v>
      </c>
      <c r="AB920" s="84"/>
      <c r="AC920" s="84"/>
      <c r="AD920" s="84"/>
      <c r="AE920" s="84"/>
      <c r="AF920" s="84"/>
      <c r="AG920" s="84"/>
      <c r="AH920" s="84"/>
      <c r="AI920" s="84"/>
      <c r="AJ920" s="84"/>
      <c r="AK920" s="84"/>
      <c r="AL920" s="84"/>
      <c r="AM920" s="84"/>
      <c r="AN920" s="84"/>
      <c r="AO920" s="84"/>
      <c r="AP920" s="84"/>
      <c r="AQ920" s="84"/>
      <c r="AR920" s="84"/>
      <c r="AS920" s="84"/>
      <c r="AT920" s="84"/>
      <c r="AU920" s="84"/>
      <c r="AV920" s="84"/>
      <c r="AW920" s="84"/>
      <c r="AX920" s="84"/>
      <c r="AY920" s="84"/>
      <c r="AZ920" s="84"/>
      <c r="BA920" s="84"/>
      <c r="BB920" s="84"/>
      <c r="BC920" s="84"/>
      <c r="BD920" s="84"/>
      <c r="BE920" s="84">
        <v>1.1100000000000001</v>
      </c>
      <c r="BF920" s="84"/>
      <c r="BG920" s="84"/>
      <c r="BH920" s="84"/>
      <c r="BI920" s="84"/>
      <c r="BJ920" s="78">
        <f t="shared" si="102"/>
        <v>0</v>
      </c>
      <c r="BK920" s="84"/>
      <c r="BL920" s="44">
        <v>41</v>
      </c>
      <c r="BM920" s="79">
        <f t="shared" si="106"/>
        <v>0</v>
      </c>
      <c r="BN920" s="75"/>
      <c r="BO920" s="75"/>
    </row>
    <row r="921" spans="1:67" s="4" customFormat="1" x14ac:dyDescent="0.3">
      <c r="A921" s="48">
        <v>204</v>
      </c>
      <c r="B921" s="42" t="s">
        <v>306</v>
      </c>
      <c r="C921" s="48" t="s">
        <v>29</v>
      </c>
      <c r="D921" s="39">
        <f>0.77+0.45+1.02</f>
        <v>2.2400000000000002</v>
      </c>
      <c r="E921" s="39"/>
      <c r="F921" s="39">
        <f>0.77+0.45+1.02</f>
        <v>2.2400000000000002</v>
      </c>
      <c r="G921" s="39">
        <v>2.2400000000000002</v>
      </c>
      <c r="H921" s="39"/>
      <c r="I921" s="39"/>
      <c r="J921" s="39">
        <f t="shared" si="108"/>
        <v>0</v>
      </c>
      <c r="K921" s="42" t="s">
        <v>426</v>
      </c>
      <c r="L921" s="42" t="s">
        <v>415</v>
      </c>
      <c r="M921" s="43">
        <v>39</v>
      </c>
      <c r="N921" s="210">
        <v>752</v>
      </c>
      <c r="O921" s="43"/>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921" s="84"/>
      <c r="AN921" s="84"/>
      <c r="AO921" s="84"/>
      <c r="AP921" s="84"/>
      <c r="AQ921" s="84"/>
      <c r="AR921" s="84"/>
      <c r="AS921" s="84"/>
      <c r="AT921" s="84"/>
      <c r="AU921" s="84"/>
      <c r="AV921" s="84"/>
      <c r="AW921" s="84"/>
      <c r="AX921" s="84"/>
      <c r="AY921" s="84"/>
      <c r="AZ921" s="84"/>
      <c r="BA921" s="84"/>
      <c r="BB921" s="84"/>
      <c r="BC921" s="84"/>
      <c r="BD921" s="84"/>
      <c r="BE921" s="84"/>
      <c r="BF921" s="84"/>
      <c r="BG921" s="84"/>
      <c r="BH921" s="84"/>
      <c r="BI921" s="84"/>
      <c r="BJ921" s="78">
        <f t="shared" si="102"/>
        <v>0</v>
      </c>
      <c r="BK921" s="84"/>
      <c r="BL921" s="44">
        <v>41</v>
      </c>
      <c r="BM921" s="79">
        <f t="shared" si="106"/>
        <v>0</v>
      </c>
      <c r="BN921" s="75"/>
      <c r="BO921" s="75"/>
    </row>
    <row r="922" spans="1:67" s="4" customFormat="1" ht="31.2" x14ac:dyDescent="0.3">
      <c r="A922" s="48">
        <v>205</v>
      </c>
      <c r="B922" s="42" t="s">
        <v>352</v>
      </c>
      <c r="C922" s="48" t="s">
        <v>29</v>
      </c>
      <c r="D922" s="39">
        <v>0.5</v>
      </c>
      <c r="E922" s="39"/>
      <c r="F922" s="39">
        <v>0.5</v>
      </c>
      <c r="G922" s="39"/>
      <c r="H922" s="39"/>
      <c r="I922" s="39"/>
      <c r="J922" s="39">
        <f t="shared" si="108"/>
        <v>0.5</v>
      </c>
      <c r="K922" s="92" t="s">
        <v>111</v>
      </c>
      <c r="L922" s="42" t="s">
        <v>415</v>
      </c>
      <c r="M922" s="44">
        <v>56</v>
      </c>
      <c r="N922" s="209">
        <v>753</v>
      </c>
      <c r="O922" s="4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922" s="84"/>
      <c r="AN922" s="84"/>
      <c r="AO922" s="84"/>
      <c r="AP922" s="84"/>
      <c r="AQ922" s="84"/>
      <c r="AR922" s="84"/>
      <c r="AS922" s="84"/>
      <c r="AT922" s="84"/>
      <c r="AU922" s="84"/>
      <c r="AV922" s="84"/>
      <c r="AW922" s="84"/>
      <c r="AX922" s="84"/>
      <c r="AY922" s="84"/>
      <c r="AZ922" s="84"/>
      <c r="BA922" s="84"/>
      <c r="BB922" s="84"/>
      <c r="BC922" s="84"/>
      <c r="BD922" s="84"/>
      <c r="BE922" s="84">
        <v>0.5</v>
      </c>
      <c r="BF922" s="84"/>
      <c r="BG922" s="84"/>
      <c r="BH922" s="84"/>
      <c r="BI922" s="84"/>
      <c r="BJ922" s="78">
        <f t="shared" si="102"/>
        <v>0</v>
      </c>
      <c r="BK922" s="84"/>
      <c r="BL922" s="44">
        <v>41</v>
      </c>
      <c r="BM922" s="79">
        <f t="shared" si="106"/>
        <v>0</v>
      </c>
      <c r="BN922" s="75"/>
      <c r="BO922" s="75"/>
    </row>
    <row r="923" spans="1:67" s="4" customFormat="1" ht="21.75" customHeight="1" x14ac:dyDescent="0.3">
      <c r="A923" s="48">
        <v>206</v>
      </c>
      <c r="B923" s="42" t="s">
        <v>732</v>
      </c>
      <c r="C923" s="43" t="s">
        <v>29</v>
      </c>
      <c r="D923" s="41">
        <v>12.52</v>
      </c>
      <c r="E923" s="41"/>
      <c r="F923" s="41">
        <v>12.52</v>
      </c>
      <c r="G923" s="41"/>
      <c r="H923" s="41"/>
      <c r="I923" s="41"/>
      <c r="J923" s="41">
        <v>12.52</v>
      </c>
      <c r="K923" s="42" t="s">
        <v>859</v>
      </c>
      <c r="L923" s="42" t="s">
        <v>688</v>
      </c>
      <c r="M923" s="43">
        <v>52</v>
      </c>
      <c r="N923" s="210">
        <v>754</v>
      </c>
      <c r="O923" s="43"/>
      <c r="P923" s="97"/>
      <c r="Q923" s="97"/>
      <c r="R923" s="97"/>
      <c r="S923" s="97"/>
      <c r="T923" s="97"/>
      <c r="U923" s="97"/>
      <c r="V923" s="97"/>
      <c r="W923" s="97"/>
      <c r="X923" s="97"/>
      <c r="Y923" s="97"/>
      <c r="Z923" s="97">
        <f>5.87+6.5</f>
        <v>12.370000000000001</v>
      </c>
      <c r="AA923" s="97"/>
      <c r="AB923" s="97"/>
      <c r="AC923" s="97"/>
      <c r="AD923" s="97"/>
      <c r="AE923" s="97"/>
      <c r="AF923" s="97"/>
      <c r="AG923" s="100"/>
      <c r="AH923" s="97"/>
      <c r="AI923" s="97"/>
      <c r="AJ923" s="97"/>
      <c r="AK923" s="97"/>
      <c r="AL923" s="97"/>
      <c r="AM923" s="97"/>
      <c r="AN923" s="97"/>
      <c r="AO923" s="97"/>
      <c r="AP923" s="97"/>
      <c r="AQ923" s="97"/>
      <c r="AR923" s="97"/>
      <c r="AS923" s="97"/>
      <c r="AT923" s="97"/>
      <c r="AU923" s="97"/>
      <c r="AV923" s="97"/>
      <c r="AW923" s="97"/>
      <c r="AX923" s="97"/>
      <c r="AY923" s="97"/>
      <c r="AZ923" s="97"/>
      <c r="BA923" s="97"/>
      <c r="BB923" s="97"/>
      <c r="BC923" s="97"/>
      <c r="BD923" s="97"/>
      <c r="BE923" s="97"/>
      <c r="BF923" s="97">
        <v>0.15</v>
      </c>
      <c r="BG923" s="97"/>
      <c r="BH923" s="97"/>
      <c r="BI923" s="97"/>
      <c r="BJ923" s="78">
        <f t="shared" si="102"/>
        <v>0</v>
      </c>
      <c r="BK923" s="97"/>
      <c r="BL923" s="97">
        <v>41</v>
      </c>
      <c r="BM923" s="79">
        <f t="shared" si="106"/>
        <v>0</v>
      </c>
      <c r="BN923" s="75"/>
      <c r="BO923" s="75"/>
    </row>
    <row r="924" spans="1:67" s="4" customFormat="1" ht="31.2" x14ac:dyDescent="0.3">
      <c r="A924" s="48">
        <v>207</v>
      </c>
      <c r="B924" s="42" t="s">
        <v>860</v>
      </c>
      <c r="C924" s="43" t="s">
        <v>29</v>
      </c>
      <c r="D924" s="41">
        <v>3.94</v>
      </c>
      <c r="E924" s="41"/>
      <c r="F924" s="41">
        <v>3.94</v>
      </c>
      <c r="G924" s="41">
        <v>3</v>
      </c>
      <c r="H924" s="41"/>
      <c r="I924" s="41"/>
      <c r="J924" s="41">
        <v>0.94</v>
      </c>
      <c r="K924" s="42" t="s">
        <v>861</v>
      </c>
      <c r="L924" s="42" t="s">
        <v>688</v>
      </c>
      <c r="M924" s="43">
        <v>14</v>
      </c>
      <c r="N924" s="210">
        <v>755</v>
      </c>
      <c r="O924" s="43"/>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c r="AN924" s="97"/>
      <c r="AO924" s="97"/>
      <c r="AP924" s="97"/>
      <c r="AQ924" s="97">
        <v>0.94</v>
      </c>
      <c r="AR924" s="97"/>
      <c r="AS924" s="97"/>
      <c r="AT924" s="97"/>
      <c r="AU924" s="97"/>
      <c r="AV924" s="97"/>
      <c r="AW924" s="97"/>
      <c r="AX924" s="97"/>
      <c r="AY924" s="97"/>
      <c r="AZ924" s="97"/>
      <c r="BA924" s="97"/>
      <c r="BB924" s="97"/>
      <c r="BC924" s="97"/>
      <c r="BD924" s="97"/>
      <c r="BE924" s="100"/>
      <c r="BF924" s="97"/>
      <c r="BG924" s="97"/>
      <c r="BH924" s="97"/>
      <c r="BI924" s="97"/>
      <c r="BJ924" s="78">
        <f t="shared" si="102"/>
        <v>0</v>
      </c>
      <c r="BK924" s="97"/>
      <c r="BL924" s="97">
        <v>41</v>
      </c>
      <c r="BM924" s="79">
        <f t="shared" si="106"/>
        <v>0</v>
      </c>
      <c r="BN924" s="75"/>
      <c r="BO924" s="75"/>
    </row>
    <row r="925" spans="1:67" s="4" customFormat="1" ht="75.75" customHeight="1" x14ac:dyDescent="0.3">
      <c r="A925" s="48">
        <v>208</v>
      </c>
      <c r="B925" s="42" t="s">
        <v>733</v>
      </c>
      <c r="C925" s="43" t="s">
        <v>29</v>
      </c>
      <c r="D925" s="41">
        <v>2.25</v>
      </c>
      <c r="E925" s="41"/>
      <c r="F925" s="41">
        <v>2.25</v>
      </c>
      <c r="G925" s="41">
        <v>2</v>
      </c>
      <c r="H925" s="41"/>
      <c r="I925" s="41"/>
      <c r="J925" s="41">
        <v>0.25</v>
      </c>
      <c r="K925" s="42" t="s">
        <v>862</v>
      </c>
      <c r="L925" s="42" t="s">
        <v>688</v>
      </c>
      <c r="M925" s="43">
        <v>15</v>
      </c>
      <c r="N925" s="210">
        <v>756</v>
      </c>
      <c r="O925" s="43"/>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c r="AN925" s="97"/>
      <c r="AO925" s="97"/>
      <c r="AP925" s="97"/>
      <c r="AQ925" s="97">
        <v>0.25</v>
      </c>
      <c r="AR925" s="97"/>
      <c r="AS925" s="97"/>
      <c r="AT925" s="97"/>
      <c r="AU925" s="97"/>
      <c r="AV925" s="97"/>
      <c r="AW925" s="97"/>
      <c r="AX925" s="97"/>
      <c r="AY925" s="97"/>
      <c r="AZ925" s="97"/>
      <c r="BA925" s="97"/>
      <c r="BB925" s="97"/>
      <c r="BC925" s="97"/>
      <c r="BD925" s="97"/>
      <c r="BE925" s="97"/>
      <c r="BF925" s="97"/>
      <c r="BG925" s="97"/>
      <c r="BH925" s="97"/>
      <c r="BI925" s="97"/>
      <c r="BJ925" s="78">
        <f t="shared" si="102"/>
        <v>0</v>
      </c>
      <c r="BK925" s="97"/>
      <c r="BL925" s="97">
        <v>41</v>
      </c>
      <c r="BM925" s="79">
        <f t="shared" si="106"/>
        <v>0</v>
      </c>
      <c r="BN925" s="75"/>
      <c r="BO925" s="75"/>
    </row>
    <row r="926" spans="1:67" s="4" customFormat="1" x14ac:dyDescent="0.3">
      <c r="A926" s="48">
        <v>209</v>
      </c>
      <c r="B926" s="42" t="s">
        <v>306</v>
      </c>
      <c r="C926" s="43" t="s">
        <v>29</v>
      </c>
      <c r="D926" s="41">
        <v>0.17</v>
      </c>
      <c r="E926" s="41"/>
      <c r="F926" s="41">
        <v>0.17</v>
      </c>
      <c r="G926" s="41">
        <v>0</v>
      </c>
      <c r="H926" s="41"/>
      <c r="I926" s="41"/>
      <c r="J926" s="41">
        <v>0.17</v>
      </c>
      <c r="K926" s="42" t="s">
        <v>999</v>
      </c>
      <c r="L926" s="42" t="s">
        <v>688</v>
      </c>
      <c r="M926" s="43">
        <v>16</v>
      </c>
      <c r="N926" s="210">
        <v>757</v>
      </c>
      <c r="O926" s="43"/>
      <c r="P926" s="97"/>
      <c r="Q926" s="97"/>
      <c r="R926" s="97"/>
      <c r="S926" s="97"/>
      <c r="T926" s="97"/>
      <c r="U926" s="97"/>
      <c r="V926" s="97"/>
      <c r="W926" s="97"/>
      <c r="X926" s="97"/>
      <c r="Y926" s="97"/>
      <c r="Z926" s="97">
        <v>0.17</v>
      </c>
      <c r="AA926" s="97"/>
      <c r="AB926" s="97"/>
      <c r="AC926" s="97"/>
      <c r="AD926" s="97"/>
      <c r="AE926" s="97"/>
      <c r="AF926" s="97"/>
      <c r="AG926" s="97"/>
      <c r="AH926" s="97"/>
      <c r="AI926" s="97"/>
      <c r="AJ926" s="97"/>
      <c r="AK926" s="97"/>
      <c r="AL926" s="97"/>
      <c r="AM926" s="97"/>
      <c r="AN926" s="97"/>
      <c r="AO926" s="100"/>
      <c r="AP926" s="97"/>
      <c r="AQ926" s="97"/>
      <c r="AR926" s="97"/>
      <c r="AS926" s="97"/>
      <c r="AT926" s="97"/>
      <c r="AU926" s="97"/>
      <c r="AV926" s="97"/>
      <c r="AW926" s="97"/>
      <c r="AX926" s="97"/>
      <c r="AY926" s="97"/>
      <c r="AZ926" s="97"/>
      <c r="BA926" s="97"/>
      <c r="BB926" s="97"/>
      <c r="BC926" s="97"/>
      <c r="BD926" s="97"/>
      <c r="BE926" s="100"/>
      <c r="BF926" s="97"/>
      <c r="BG926" s="97"/>
      <c r="BH926" s="97"/>
      <c r="BI926" s="97"/>
      <c r="BJ926" s="78">
        <f t="shared" si="102"/>
        <v>0</v>
      </c>
      <c r="BK926" s="97"/>
      <c r="BL926" s="97">
        <v>41</v>
      </c>
      <c r="BM926" s="79">
        <f t="shared" si="106"/>
        <v>0</v>
      </c>
      <c r="BN926" s="75"/>
      <c r="BO926" s="75"/>
    </row>
    <row r="927" spans="1:67" s="4" customFormat="1" ht="46.8" x14ac:dyDescent="0.3">
      <c r="A927" s="48">
        <v>210</v>
      </c>
      <c r="B927" s="42" t="s">
        <v>733</v>
      </c>
      <c r="C927" s="43" t="s">
        <v>29</v>
      </c>
      <c r="D927" s="41">
        <v>0.14000000000000001</v>
      </c>
      <c r="E927" s="41"/>
      <c r="F927" s="41">
        <v>0.14000000000000001</v>
      </c>
      <c r="G927" s="41">
        <v>0</v>
      </c>
      <c r="H927" s="41"/>
      <c r="I927" s="41"/>
      <c r="J927" s="41">
        <v>0.14000000000000001</v>
      </c>
      <c r="K927" s="42" t="s">
        <v>998</v>
      </c>
      <c r="L927" s="42" t="s">
        <v>688</v>
      </c>
      <c r="M927" s="43">
        <v>17</v>
      </c>
      <c r="N927" s="210">
        <v>758</v>
      </c>
      <c r="O927" s="43"/>
      <c r="P927" s="97"/>
      <c r="Q927" s="97"/>
      <c r="R927" s="97"/>
      <c r="S927" s="97"/>
      <c r="T927" s="97"/>
      <c r="U927" s="97"/>
      <c r="V927" s="97"/>
      <c r="W927" s="97"/>
      <c r="X927" s="97"/>
      <c r="Y927" s="97"/>
      <c r="Z927" s="97"/>
      <c r="AA927" s="97"/>
      <c r="AB927" s="100"/>
      <c r="AC927" s="97"/>
      <c r="AD927" s="97"/>
      <c r="AE927" s="97"/>
      <c r="AF927" s="97"/>
      <c r="AG927" s="97"/>
      <c r="AH927" s="97"/>
      <c r="AI927" s="97"/>
      <c r="AJ927" s="97"/>
      <c r="AK927" s="97"/>
      <c r="AL927" s="97"/>
      <c r="AM927" s="97"/>
      <c r="AN927" s="97"/>
      <c r="AO927" s="97"/>
      <c r="AP927" s="97"/>
      <c r="AQ927" s="97"/>
      <c r="AR927" s="97"/>
      <c r="AS927" s="97"/>
      <c r="AT927" s="97"/>
      <c r="AU927" s="97"/>
      <c r="AV927" s="97"/>
      <c r="AW927" s="97">
        <v>0.14000000000000001</v>
      </c>
      <c r="AX927" s="97"/>
      <c r="AY927" s="97"/>
      <c r="AZ927" s="97"/>
      <c r="BA927" s="97"/>
      <c r="BB927" s="97"/>
      <c r="BC927" s="97"/>
      <c r="BD927" s="97"/>
      <c r="BE927" s="97"/>
      <c r="BF927" s="97"/>
      <c r="BG927" s="97"/>
      <c r="BH927" s="97"/>
      <c r="BI927" s="97"/>
      <c r="BJ927" s="78">
        <f t="shared" si="102"/>
        <v>0</v>
      </c>
      <c r="BK927" s="97"/>
      <c r="BL927" s="97">
        <v>41</v>
      </c>
      <c r="BM927" s="79">
        <f t="shared" si="106"/>
        <v>0</v>
      </c>
      <c r="BN927" s="75"/>
      <c r="BO927" s="75"/>
    </row>
    <row r="928" spans="1:67" s="4" customFormat="1" ht="31.2" x14ac:dyDescent="0.3">
      <c r="A928" s="48">
        <v>211</v>
      </c>
      <c r="B928" s="42" t="s">
        <v>352</v>
      </c>
      <c r="C928" s="43" t="s">
        <v>29</v>
      </c>
      <c r="D928" s="41">
        <v>3.62</v>
      </c>
      <c r="E928" s="41"/>
      <c r="F928" s="41">
        <v>3.62</v>
      </c>
      <c r="G928" s="41">
        <v>0.49</v>
      </c>
      <c r="H928" s="41"/>
      <c r="I928" s="41"/>
      <c r="J928" s="41">
        <v>3.13</v>
      </c>
      <c r="K928" s="42" t="s">
        <v>111</v>
      </c>
      <c r="L928" s="42" t="s">
        <v>688</v>
      </c>
      <c r="M928" s="43">
        <v>18</v>
      </c>
      <c r="N928" s="210">
        <v>759</v>
      </c>
      <c r="O928" s="43"/>
      <c r="P928" s="97"/>
      <c r="Q928" s="97"/>
      <c r="R928" s="97"/>
      <c r="S928" s="97"/>
      <c r="T928" s="97"/>
      <c r="U928" s="97"/>
      <c r="V928" s="100"/>
      <c r="W928" s="97"/>
      <c r="X928" s="97"/>
      <c r="Y928" s="97"/>
      <c r="Z928" s="97">
        <v>2.9</v>
      </c>
      <c r="AA928" s="97"/>
      <c r="AB928" s="97">
        <v>0.11</v>
      </c>
      <c r="AC928" s="97"/>
      <c r="AD928" s="97"/>
      <c r="AE928" s="97"/>
      <c r="AF928" s="97"/>
      <c r="AG928" s="97"/>
      <c r="AH928" s="97"/>
      <c r="AI928" s="97"/>
      <c r="AJ928" s="97"/>
      <c r="AK928" s="97"/>
      <c r="AL928" s="97"/>
      <c r="AM928" s="97"/>
      <c r="AN928" s="97"/>
      <c r="AO928" s="97"/>
      <c r="AP928" s="97"/>
      <c r="AQ928" s="97"/>
      <c r="AR928" s="97"/>
      <c r="AS928" s="97"/>
      <c r="AT928" s="97"/>
      <c r="AU928" s="97"/>
      <c r="AV928" s="97"/>
      <c r="AW928" s="97"/>
      <c r="AX928" s="97"/>
      <c r="AY928" s="97"/>
      <c r="AZ928" s="97"/>
      <c r="BA928" s="97"/>
      <c r="BB928" s="97"/>
      <c r="BC928" s="97"/>
      <c r="BD928" s="97"/>
      <c r="BE928" s="97">
        <v>0.12</v>
      </c>
      <c r="BF928" s="97"/>
      <c r="BG928" s="97"/>
      <c r="BH928" s="97"/>
      <c r="BI928" s="97"/>
      <c r="BJ928" s="78">
        <f t="shared" si="102"/>
        <v>0</v>
      </c>
      <c r="BK928" s="97"/>
      <c r="BL928" s="97">
        <v>41</v>
      </c>
      <c r="BM928" s="79">
        <f t="shared" si="106"/>
        <v>0</v>
      </c>
      <c r="BN928" s="75"/>
      <c r="BO928" s="75"/>
    </row>
    <row r="929" spans="1:67" s="4" customFormat="1" x14ac:dyDescent="0.3">
      <c r="A929" s="48">
        <v>212</v>
      </c>
      <c r="B929" s="42" t="s">
        <v>734</v>
      </c>
      <c r="C929" s="43" t="s">
        <v>29</v>
      </c>
      <c r="D929" s="41">
        <v>0.5</v>
      </c>
      <c r="E929" s="41"/>
      <c r="F929" s="41">
        <v>0.5</v>
      </c>
      <c r="G929" s="41"/>
      <c r="H929" s="41"/>
      <c r="I929" s="41"/>
      <c r="J929" s="41">
        <v>0.5</v>
      </c>
      <c r="K929" s="42" t="s">
        <v>964</v>
      </c>
      <c r="L929" s="42" t="s">
        <v>688</v>
      </c>
      <c r="M929" s="43">
        <v>25</v>
      </c>
      <c r="N929" s="210">
        <v>760</v>
      </c>
      <c r="O929" s="43"/>
      <c r="P929" s="97"/>
      <c r="Q929" s="97"/>
      <c r="R929" s="97"/>
      <c r="S929" s="97"/>
      <c r="T929" s="97"/>
      <c r="U929" s="97"/>
      <c r="V929" s="97"/>
      <c r="W929" s="97"/>
      <c r="X929" s="97"/>
      <c r="Y929" s="97"/>
      <c r="Z929" s="97">
        <v>0.5</v>
      </c>
      <c r="AA929" s="97"/>
      <c r="AB929" s="97"/>
      <c r="AC929" s="97"/>
      <c r="AD929" s="97"/>
      <c r="AE929" s="97"/>
      <c r="AF929" s="97"/>
      <c r="AG929" s="97"/>
      <c r="AH929" s="97"/>
      <c r="AI929" s="97"/>
      <c r="AJ929" s="97"/>
      <c r="AK929" s="97"/>
      <c r="AL929" s="97"/>
      <c r="AM929" s="97"/>
      <c r="AN929" s="97"/>
      <c r="AO929" s="97"/>
      <c r="AP929" s="97"/>
      <c r="AQ929" s="97"/>
      <c r="AR929" s="97"/>
      <c r="AS929" s="97"/>
      <c r="AT929" s="97"/>
      <c r="AU929" s="97"/>
      <c r="AV929" s="97"/>
      <c r="AW929" s="97"/>
      <c r="AX929" s="97"/>
      <c r="AY929" s="97"/>
      <c r="AZ929" s="97"/>
      <c r="BA929" s="97"/>
      <c r="BB929" s="97"/>
      <c r="BC929" s="97"/>
      <c r="BD929" s="97"/>
      <c r="BE929" s="97"/>
      <c r="BF929" s="97"/>
      <c r="BG929" s="97"/>
      <c r="BH929" s="97"/>
      <c r="BI929" s="97"/>
      <c r="BJ929" s="78">
        <f t="shared" si="102"/>
        <v>0</v>
      </c>
      <c r="BK929" s="97"/>
      <c r="BL929" s="97">
        <v>41</v>
      </c>
      <c r="BM929" s="79">
        <f t="shared" si="106"/>
        <v>0</v>
      </c>
      <c r="BN929" s="75"/>
      <c r="BO929" s="75"/>
    </row>
    <row r="930" spans="1:67" s="4" customFormat="1" x14ac:dyDescent="0.3">
      <c r="A930" s="48">
        <v>213</v>
      </c>
      <c r="B930" s="42" t="s">
        <v>734</v>
      </c>
      <c r="C930" s="43" t="s">
        <v>29</v>
      </c>
      <c r="D930" s="41">
        <v>0.96</v>
      </c>
      <c r="E930" s="41"/>
      <c r="F930" s="41">
        <v>0.96</v>
      </c>
      <c r="G930" s="41">
        <v>0.27</v>
      </c>
      <c r="H930" s="41"/>
      <c r="I930" s="41"/>
      <c r="J930" s="41">
        <v>0.69</v>
      </c>
      <c r="K930" s="42" t="s">
        <v>859</v>
      </c>
      <c r="L930" s="42" t="s">
        <v>688</v>
      </c>
      <c r="M930" s="43">
        <v>26</v>
      </c>
      <c r="N930" s="210">
        <v>761</v>
      </c>
      <c r="O930" s="43"/>
      <c r="P930" s="97"/>
      <c r="Q930" s="97"/>
      <c r="R930" s="97"/>
      <c r="S930" s="97"/>
      <c r="T930" s="97"/>
      <c r="U930" s="97"/>
      <c r="V930" s="97"/>
      <c r="W930" s="97"/>
      <c r="X930" s="97"/>
      <c r="Y930" s="97"/>
      <c r="Z930" s="97">
        <v>0.69</v>
      </c>
      <c r="AA930" s="97"/>
      <c r="AB930" s="97"/>
      <c r="AC930" s="97"/>
      <c r="AD930" s="97"/>
      <c r="AE930" s="97"/>
      <c r="AF930" s="97"/>
      <c r="AG930" s="97"/>
      <c r="AH930" s="97"/>
      <c r="AI930" s="97"/>
      <c r="AJ930" s="97"/>
      <c r="AK930" s="97"/>
      <c r="AL930" s="97"/>
      <c r="AM930" s="97"/>
      <c r="AN930" s="97"/>
      <c r="AO930" s="97"/>
      <c r="AP930" s="97"/>
      <c r="AQ930" s="97"/>
      <c r="AR930" s="97"/>
      <c r="AS930" s="97"/>
      <c r="AT930" s="97"/>
      <c r="AU930" s="97"/>
      <c r="AV930" s="97"/>
      <c r="AW930" s="97"/>
      <c r="AX930" s="97"/>
      <c r="AY930" s="97"/>
      <c r="AZ930" s="97"/>
      <c r="BA930" s="97"/>
      <c r="BB930" s="97"/>
      <c r="BC930" s="97"/>
      <c r="BD930" s="97"/>
      <c r="BE930" s="97"/>
      <c r="BF930" s="97"/>
      <c r="BG930" s="97"/>
      <c r="BH930" s="97"/>
      <c r="BI930" s="97"/>
      <c r="BJ930" s="78">
        <f t="shared" si="102"/>
        <v>0</v>
      </c>
      <c r="BK930" s="97"/>
      <c r="BL930" s="97">
        <v>41</v>
      </c>
      <c r="BM930" s="79">
        <f t="shared" si="106"/>
        <v>0</v>
      </c>
      <c r="BN930" s="75"/>
      <c r="BO930" s="75"/>
    </row>
    <row r="931" spans="1:67" s="4" customFormat="1" x14ac:dyDescent="0.3">
      <c r="A931" s="48">
        <v>214</v>
      </c>
      <c r="B931" s="42" t="s">
        <v>734</v>
      </c>
      <c r="C931" s="43" t="s">
        <v>29</v>
      </c>
      <c r="D931" s="41">
        <v>0.34</v>
      </c>
      <c r="E931" s="41"/>
      <c r="F931" s="41">
        <v>0.34</v>
      </c>
      <c r="G931" s="41">
        <v>0.34</v>
      </c>
      <c r="H931" s="41"/>
      <c r="I931" s="41"/>
      <c r="J931" s="41"/>
      <c r="K931" s="42" t="s">
        <v>997</v>
      </c>
      <c r="L931" s="42" t="s">
        <v>688</v>
      </c>
      <c r="M931" s="43">
        <v>35</v>
      </c>
      <c r="N931" s="210">
        <v>762</v>
      </c>
      <c r="O931" s="43"/>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c r="AN931" s="97"/>
      <c r="AO931" s="97"/>
      <c r="AP931" s="97"/>
      <c r="AQ931" s="97"/>
      <c r="AR931" s="97"/>
      <c r="AS931" s="97"/>
      <c r="AT931" s="97"/>
      <c r="AU931" s="97"/>
      <c r="AV931" s="97"/>
      <c r="AW931" s="97"/>
      <c r="AX931" s="97"/>
      <c r="AY931" s="97"/>
      <c r="AZ931" s="97"/>
      <c r="BA931" s="97"/>
      <c r="BB931" s="97"/>
      <c r="BC931" s="97"/>
      <c r="BD931" s="97"/>
      <c r="BE931" s="97"/>
      <c r="BF931" s="97"/>
      <c r="BG931" s="97"/>
      <c r="BH931" s="97"/>
      <c r="BI931" s="97"/>
      <c r="BJ931" s="78">
        <f t="shared" si="102"/>
        <v>0</v>
      </c>
      <c r="BK931" s="97"/>
      <c r="BL931" s="97">
        <v>41</v>
      </c>
      <c r="BM931" s="79">
        <f t="shared" si="106"/>
        <v>0</v>
      </c>
      <c r="BN931" s="75"/>
      <c r="BO931" s="75"/>
    </row>
    <row r="932" spans="1:67" s="4" customFormat="1" x14ac:dyDescent="0.3">
      <c r="A932" s="48">
        <v>215</v>
      </c>
      <c r="B932" s="42" t="s">
        <v>734</v>
      </c>
      <c r="C932" s="95" t="s">
        <v>29</v>
      </c>
      <c r="D932" s="41">
        <v>0.81</v>
      </c>
      <c r="E932" s="41"/>
      <c r="F932" s="41">
        <v>0.81</v>
      </c>
      <c r="G932" s="41"/>
      <c r="H932" s="41"/>
      <c r="I932" s="41"/>
      <c r="J932" s="41">
        <v>0.81</v>
      </c>
      <c r="K932" s="42" t="s">
        <v>965</v>
      </c>
      <c r="L932" s="42" t="s">
        <v>688</v>
      </c>
      <c r="M932" s="43">
        <v>39</v>
      </c>
      <c r="N932" s="210">
        <v>763</v>
      </c>
      <c r="O932" s="43"/>
      <c r="P932" s="97"/>
      <c r="Q932" s="97"/>
      <c r="R932" s="97"/>
      <c r="S932" s="97"/>
      <c r="T932" s="97"/>
      <c r="U932" s="97"/>
      <c r="V932" s="97"/>
      <c r="W932" s="97"/>
      <c r="X932" s="97"/>
      <c r="Y932" s="97"/>
      <c r="Z932" s="97">
        <v>0.81</v>
      </c>
      <c r="AA932" s="97"/>
      <c r="AB932" s="97"/>
      <c r="AC932" s="97"/>
      <c r="AD932" s="97"/>
      <c r="AE932" s="97"/>
      <c r="AF932" s="97"/>
      <c r="AG932" s="97"/>
      <c r="AH932" s="97"/>
      <c r="AI932" s="97"/>
      <c r="AJ932" s="97"/>
      <c r="AK932" s="97"/>
      <c r="AL932" s="97"/>
      <c r="AM932" s="97"/>
      <c r="AN932" s="97"/>
      <c r="AO932" s="97"/>
      <c r="AP932" s="97"/>
      <c r="AQ932" s="97"/>
      <c r="AR932" s="97"/>
      <c r="AS932" s="97"/>
      <c r="AT932" s="97"/>
      <c r="AU932" s="97"/>
      <c r="AV932" s="97"/>
      <c r="AW932" s="97"/>
      <c r="AX932" s="97"/>
      <c r="AY932" s="97"/>
      <c r="AZ932" s="97"/>
      <c r="BA932" s="97"/>
      <c r="BB932" s="97"/>
      <c r="BC932" s="97"/>
      <c r="BD932" s="97"/>
      <c r="BE932" s="97"/>
      <c r="BF932" s="97"/>
      <c r="BG932" s="97"/>
      <c r="BH932" s="97"/>
      <c r="BI932" s="97"/>
      <c r="BJ932" s="78">
        <f t="shared" si="102"/>
        <v>0</v>
      </c>
      <c r="BK932" s="97"/>
      <c r="BL932" s="97">
        <v>41</v>
      </c>
      <c r="BM932" s="79">
        <f t="shared" si="106"/>
        <v>0</v>
      </c>
      <c r="BN932" s="75"/>
      <c r="BO932" s="75"/>
    </row>
    <row r="933" spans="1:67" s="4" customFormat="1" ht="31.2" x14ac:dyDescent="0.3">
      <c r="A933" s="48">
        <v>216</v>
      </c>
      <c r="B933" s="42" t="s">
        <v>742</v>
      </c>
      <c r="C933" s="43" t="s">
        <v>29</v>
      </c>
      <c r="D933" s="41">
        <v>1.21</v>
      </c>
      <c r="E933" s="41"/>
      <c r="F933" s="41">
        <v>1.21</v>
      </c>
      <c r="G933" s="41">
        <f>0.47</f>
        <v>0.47</v>
      </c>
      <c r="H933" s="41"/>
      <c r="I933" s="41"/>
      <c r="J933" s="41">
        <v>0.74</v>
      </c>
      <c r="K933" s="42" t="s">
        <v>966</v>
      </c>
      <c r="L933" s="42" t="s">
        <v>688</v>
      </c>
      <c r="M933" s="43">
        <v>63</v>
      </c>
      <c r="N933" s="210">
        <v>764</v>
      </c>
      <c r="O933" s="43"/>
      <c r="P933" s="97"/>
      <c r="Q933" s="97"/>
      <c r="R933" s="97"/>
      <c r="S933" s="97"/>
      <c r="T933" s="97"/>
      <c r="U933" s="97"/>
      <c r="V933" s="97"/>
      <c r="W933" s="97"/>
      <c r="X933" s="97"/>
      <c r="Y933" s="97"/>
      <c r="Z933" s="97">
        <v>0.74</v>
      </c>
      <c r="AA933" s="97"/>
      <c r="AB933" s="97"/>
      <c r="AC933" s="97"/>
      <c r="AD933" s="97"/>
      <c r="AE933" s="97"/>
      <c r="AF933" s="97"/>
      <c r="AG933" s="97"/>
      <c r="AH933" s="97"/>
      <c r="AI933" s="97"/>
      <c r="AJ933" s="97"/>
      <c r="AK933" s="97"/>
      <c r="AL933" s="97"/>
      <c r="AM933" s="97"/>
      <c r="AN933" s="97"/>
      <c r="AO933" s="97"/>
      <c r="AP933" s="97"/>
      <c r="AQ933" s="97"/>
      <c r="AR933" s="97"/>
      <c r="AS933" s="97"/>
      <c r="AT933" s="97"/>
      <c r="AU933" s="97"/>
      <c r="AV933" s="97"/>
      <c r="AW933" s="97"/>
      <c r="AX933" s="97"/>
      <c r="AY933" s="97"/>
      <c r="AZ933" s="97"/>
      <c r="BA933" s="97"/>
      <c r="BB933" s="97"/>
      <c r="BC933" s="97"/>
      <c r="BD933" s="97"/>
      <c r="BE933" s="97"/>
      <c r="BF933" s="97"/>
      <c r="BG933" s="97"/>
      <c r="BH933" s="97"/>
      <c r="BI933" s="97"/>
      <c r="BJ933" s="78">
        <f t="shared" si="102"/>
        <v>0</v>
      </c>
      <c r="BK933" s="97"/>
      <c r="BL933" s="97">
        <v>41</v>
      </c>
      <c r="BM933" s="79">
        <f t="shared" si="106"/>
        <v>0</v>
      </c>
      <c r="BN933" s="75"/>
      <c r="BO933" s="75"/>
    </row>
    <row r="934" spans="1:67" x14ac:dyDescent="0.3">
      <c r="A934" s="76" t="s">
        <v>650</v>
      </c>
      <c r="B934" s="77" t="s">
        <v>651</v>
      </c>
      <c r="C934" s="81" t="s">
        <v>30</v>
      </c>
      <c r="D934" s="81">
        <f t="shared" ref="D934:L934" si="109">SUM(D935:D946)</f>
        <v>89.699999999999989</v>
      </c>
      <c r="E934" s="81">
        <f t="shared" si="109"/>
        <v>0</v>
      </c>
      <c r="F934" s="81">
        <f t="shared" si="109"/>
        <v>89.699999999999989</v>
      </c>
      <c r="G934" s="81">
        <f t="shared" si="109"/>
        <v>67.34</v>
      </c>
      <c r="H934" s="81">
        <f t="shared" si="109"/>
        <v>0</v>
      </c>
      <c r="I934" s="81">
        <f t="shared" si="109"/>
        <v>0</v>
      </c>
      <c r="J934" s="81">
        <f t="shared" si="109"/>
        <v>22.36</v>
      </c>
      <c r="K934" s="82">
        <f t="shared" si="109"/>
        <v>0</v>
      </c>
      <c r="L934" s="82">
        <f t="shared" si="109"/>
        <v>0</v>
      </c>
      <c r="M934" s="83"/>
      <c r="N934" s="83"/>
      <c r="O934" s="83"/>
      <c r="P934" s="83">
        <f t="shared" ref="P934:BH934" si="110">SUM(P935:P946)</f>
        <v>0</v>
      </c>
      <c r="Q934" s="83">
        <f t="shared" si="110"/>
        <v>0</v>
      </c>
      <c r="R934" s="83">
        <f t="shared" si="110"/>
        <v>0</v>
      </c>
      <c r="S934" s="83">
        <f t="shared" si="110"/>
        <v>0</v>
      </c>
      <c r="T934" s="83">
        <f t="shared" si="110"/>
        <v>0</v>
      </c>
      <c r="U934" s="83">
        <f t="shared" si="110"/>
        <v>0</v>
      </c>
      <c r="V934" s="83">
        <f t="shared" si="110"/>
        <v>0</v>
      </c>
      <c r="W934" s="83">
        <f t="shared" si="110"/>
        <v>0</v>
      </c>
      <c r="X934" s="83">
        <f t="shared" si="110"/>
        <v>0</v>
      </c>
      <c r="Y934" s="83">
        <f t="shared" si="110"/>
        <v>0</v>
      </c>
      <c r="Z934" s="83">
        <f t="shared" si="110"/>
        <v>2.67</v>
      </c>
      <c r="AA934" s="83">
        <f t="shared" si="110"/>
        <v>11.8</v>
      </c>
      <c r="AB934" s="83">
        <f t="shared" si="110"/>
        <v>0</v>
      </c>
      <c r="AC934" s="83">
        <f t="shared" si="110"/>
        <v>0</v>
      </c>
      <c r="AD934" s="83">
        <f t="shared" si="110"/>
        <v>0</v>
      </c>
      <c r="AE934" s="83">
        <f t="shared" si="110"/>
        <v>0</v>
      </c>
      <c r="AF934" s="83">
        <f t="shared" si="110"/>
        <v>0</v>
      </c>
      <c r="AG934" s="83">
        <f t="shared" si="110"/>
        <v>0</v>
      </c>
      <c r="AH934" s="83">
        <f t="shared" si="110"/>
        <v>0</v>
      </c>
      <c r="AI934" s="83">
        <f t="shared" si="110"/>
        <v>0</v>
      </c>
      <c r="AJ934" s="83">
        <f t="shared" si="110"/>
        <v>0</v>
      </c>
      <c r="AK934" s="83">
        <f t="shared" si="110"/>
        <v>0</v>
      </c>
      <c r="AL934" s="83">
        <f t="shared" si="110"/>
        <v>0</v>
      </c>
      <c r="AM934" s="83">
        <f t="shared" si="110"/>
        <v>0.17</v>
      </c>
      <c r="AN934" s="83">
        <f t="shared" si="110"/>
        <v>0</v>
      </c>
      <c r="AO934" s="83">
        <f t="shared" si="110"/>
        <v>0</v>
      </c>
      <c r="AP934" s="83">
        <f t="shared" si="110"/>
        <v>0</v>
      </c>
      <c r="AQ934" s="83">
        <f t="shared" si="110"/>
        <v>5.85</v>
      </c>
      <c r="AR934" s="83">
        <f t="shared" si="110"/>
        <v>0</v>
      </c>
      <c r="AS934" s="83">
        <f t="shared" si="110"/>
        <v>0</v>
      </c>
      <c r="AT934" s="83">
        <f t="shared" si="110"/>
        <v>0</v>
      </c>
      <c r="AU934" s="83">
        <f t="shared" si="110"/>
        <v>0</v>
      </c>
      <c r="AV934" s="83">
        <f t="shared" si="110"/>
        <v>0</v>
      </c>
      <c r="AW934" s="83">
        <f t="shared" si="110"/>
        <v>0.22</v>
      </c>
      <c r="AX934" s="83">
        <f t="shared" si="110"/>
        <v>0</v>
      </c>
      <c r="AY934" s="83">
        <f t="shared" si="110"/>
        <v>0</v>
      </c>
      <c r="AZ934" s="83">
        <f t="shared" si="110"/>
        <v>0</v>
      </c>
      <c r="BA934" s="83">
        <f t="shared" si="110"/>
        <v>0</v>
      </c>
      <c r="BB934" s="83">
        <f t="shared" si="110"/>
        <v>0.55000000000000004</v>
      </c>
      <c r="BC934" s="83">
        <f t="shared" si="110"/>
        <v>0</v>
      </c>
      <c r="BD934" s="83">
        <f t="shared" si="110"/>
        <v>0</v>
      </c>
      <c r="BE934" s="83">
        <f t="shared" si="110"/>
        <v>1.1000000000000001</v>
      </c>
      <c r="BF934" s="83">
        <f t="shared" si="110"/>
        <v>0</v>
      </c>
      <c r="BG934" s="83">
        <f t="shared" si="110"/>
        <v>0</v>
      </c>
      <c r="BH934" s="83">
        <f t="shared" si="110"/>
        <v>0</v>
      </c>
      <c r="BI934" s="83"/>
      <c r="BJ934" s="78">
        <f t="shared" si="102"/>
        <v>0</v>
      </c>
      <c r="BK934" s="84"/>
      <c r="BL934" s="44">
        <v>42</v>
      </c>
      <c r="BM934" s="79">
        <f t="shared" ref="BM934:BM970" si="111">J934-SUM(V934:BH934)</f>
        <v>0</v>
      </c>
      <c r="BN934" s="75"/>
      <c r="BO934" s="75"/>
    </row>
    <row r="935" spans="1:67" s="4" customFormat="1" ht="93.6" x14ac:dyDescent="0.3">
      <c r="A935" s="48">
        <v>1</v>
      </c>
      <c r="B935" s="42" t="s">
        <v>590</v>
      </c>
      <c r="C935" s="43" t="s">
        <v>30</v>
      </c>
      <c r="D935" s="41">
        <v>0.77</v>
      </c>
      <c r="E935" s="41"/>
      <c r="F935" s="41">
        <v>0.77</v>
      </c>
      <c r="G935" s="41">
        <v>0.56999999999999995</v>
      </c>
      <c r="H935" s="41"/>
      <c r="I935" s="39"/>
      <c r="J935" s="41">
        <v>0.2</v>
      </c>
      <c r="K935" s="42" t="s">
        <v>922</v>
      </c>
      <c r="L935" s="117" t="s">
        <v>67</v>
      </c>
      <c r="M935" s="43">
        <v>3</v>
      </c>
      <c r="N935" s="210">
        <v>765</v>
      </c>
      <c r="O935" s="43"/>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v>0.05</v>
      </c>
      <c r="AR935" s="115"/>
      <c r="AS935" s="115"/>
      <c r="AT935" s="115"/>
      <c r="AU935" s="115"/>
      <c r="AV935" s="115"/>
      <c r="AW935" s="115">
        <v>0.15</v>
      </c>
      <c r="AX935" s="115"/>
      <c r="AY935" s="115"/>
      <c r="AZ935" s="115"/>
      <c r="BA935" s="115"/>
      <c r="BB935" s="115"/>
      <c r="BC935" s="115"/>
      <c r="BD935" s="115"/>
      <c r="BE935" s="115"/>
      <c r="BF935" s="115"/>
      <c r="BG935" s="115"/>
      <c r="BH935" s="115"/>
      <c r="BI935" s="115"/>
      <c r="BJ935" s="78">
        <f t="shared" si="102"/>
        <v>0</v>
      </c>
      <c r="BK935" s="115"/>
      <c r="BL935" s="44">
        <v>42</v>
      </c>
      <c r="BM935" s="79">
        <f t="shared" si="111"/>
        <v>0</v>
      </c>
      <c r="BN935" s="75"/>
      <c r="BO935" s="75"/>
    </row>
    <row r="936" spans="1:67" s="4" customFormat="1" ht="93.6" x14ac:dyDescent="0.3">
      <c r="A936" s="48">
        <v>2</v>
      </c>
      <c r="B936" s="42" t="s">
        <v>590</v>
      </c>
      <c r="C936" s="43" t="s">
        <v>30</v>
      </c>
      <c r="D936" s="41">
        <v>0.33</v>
      </c>
      <c r="E936" s="41"/>
      <c r="F936" s="41">
        <v>0.33</v>
      </c>
      <c r="G936" s="41">
        <v>0.2</v>
      </c>
      <c r="H936" s="41"/>
      <c r="I936" s="39"/>
      <c r="J936" s="41">
        <v>0.13</v>
      </c>
      <c r="K936" s="42" t="s">
        <v>923</v>
      </c>
      <c r="L936" s="117" t="s">
        <v>67</v>
      </c>
      <c r="M936" s="43">
        <v>4</v>
      </c>
      <c r="N936" s="210">
        <v>766</v>
      </c>
      <c r="O936" s="43"/>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v>0.03</v>
      </c>
      <c r="AR936" s="115"/>
      <c r="AS936" s="115"/>
      <c r="AT936" s="115"/>
      <c r="AU936" s="115"/>
      <c r="AV936" s="115"/>
      <c r="AW936" s="115"/>
      <c r="AX936" s="115"/>
      <c r="AY936" s="115"/>
      <c r="AZ936" s="115"/>
      <c r="BA936" s="115"/>
      <c r="BB936" s="115"/>
      <c r="BC936" s="115"/>
      <c r="BD936" s="115"/>
      <c r="BE936" s="115">
        <v>0.1</v>
      </c>
      <c r="BF936" s="115"/>
      <c r="BG936" s="115"/>
      <c r="BH936" s="115"/>
      <c r="BI936" s="115"/>
      <c r="BJ936" s="78">
        <f t="shared" si="102"/>
        <v>0</v>
      </c>
      <c r="BK936" s="115"/>
      <c r="BL936" s="44">
        <v>42</v>
      </c>
      <c r="BM936" s="79">
        <f t="shared" si="111"/>
        <v>0</v>
      </c>
      <c r="BN936" s="75"/>
      <c r="BO936" s="75"/>
    </row>
    <row r="937" spans="1:67" s="4" customFormat="1" ht="93.6" x14ac:dyDescent="0.3">
      <c r="A937" s="48">
        <v>3</v>
      </c>
      <c r="B937" s="42" t="s">
        <v>590</v>
      </c>
      <c r="C937" s="43" t="s">
        <v>30</v>
      </c>
      <c r="D937" s="41">
        <v>1.9</v>
      </c>
      <c r="E937" s="41"/>
      <c r="F937" s="41">
        <v>1.9</v>
      </c>
      <c r="G937" s="41">
        <f>F937-J937</f>
        <v>1.5</v>
      </c>
      <c r="H937" s="41"/>
      <c r="I937" s="39"/>
      <c r="J937" s="41">
        <v>0.4</v>
      </c>
      <c r="K937" s="42" t="s">
        <v>934</v>
      </c>
      <c r="L937" s="117" t="s">
        <v>67</v>
      </c>
      <c r="M937" s="43">
        <v>21</v>
      </c>
      <c r="N937" s="210">
        <v>767</v>
      </c>
      <c r="O937" s="43"/>
      <c r="P937" s="43"/>
      <c r="Q937" s="115"/>
      <c r="R937" s="115"/>
      <c r="S937" s="115"/>
      <c r="T937" s="115"/>
      <c r="U937" s="115"/>
      <c r="V937" s="115"/>
      <c r="W937" s="115"/>
      <c r="X937" s="115"/>
      <c r="Y937" s="115"/>
      <c r="Z937" s="115">
        <v>0.33</v>
      </c>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v>7.0000000000000007E-2</v>
      </c>
      <c r="AX937" s="115"/>
      <c r="AY937" s="115"/>
      <c r="AZ937" s="115"/>
      <c r="BA937" s="115"/>
      <c r="BB937" s="115"/>
      <c r="BC937" s="115"/>
      <c r="BD937" s="115"/>
      <c r="BE937" s="115"/>
      <c r="BF937" s="115"/>
      <c r="BG937" s="115"/>
      <c r="BH937" s="115"/>
      <c r="BI937" s="115"/>
      <c r="BJ937" s="78">
        <f t="shared" si="102"/>
        <v>0</v>
      </c>
      <c r="BK937" s="115"/>
      <c r="BL937" s="44">
        <v>42</v>
      </c>
      <c r="BM937" s="79">
        <f t="shared" si="111"/>
        <v>0</v>
      </c>
      <c r="BN937" s="75"/>
      <c r="BO937" s="75"/>
    </row>
    <row r="938" spans="1:67" s="4" customFormat="1" ht="27" customHeight="1" x14ac:dyDescent="0.3">
      <c r="A938" s="48">
        <v>4</v>
      </c>
      <c r="B938" s="42" t="s">
        <v>591</v>
      </c>
      <c r="C938" s="43" t="s">
        <v>30</v>
      </c>
      <c r="D938" s="41">
        <v>5</v>
      </c>
      <c r="E938" s="41"/>
      <c r="F938" s="41">
        <v>5</v>
      </c>
      <c r="G938" s="41">
        <v>4</v>
      </c>
      <c r="H938" s="41"/>
      <c r="I938" s="39"/>
      <c r="J938" s="41">
        <v>1</v>
      </c>
      <c r="K938" s="42" t="s">
        <v>924</v>
      </c>
      <c r="L938" s="117" t="s">
        <v>67</v>
      </c>
      <c r="M938" s="43">
        <v>24</v>
      </c>
      <c r="N938" s="210">
        <v>768</v>
      </c>
      <c r="O938" s="43"/>
      <c r="P938" s="48"/>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v>1</v>
      </c>
      <c r="AR938" s="115"/>
      <c r="AS938" s="115"/>
      <c r="AT938" s="115"/>
      <c r="AU938" s="115"/>
      <c r="AV938" s="115"/>
      <c r="AW938" s="115"/>
      <c r="AX938" s="115"/>
      <c r="AY938" s="115"/>
      <c r="AZ938" s="115"/>
      <c r="BA938" s="115"/>
      <c r="BB938" s="115"/>
      <c r="BC938" s="115"/>
      <c r="BD938" s="115"/>
      <c r="BE938" s="115"/>
      <c r="BF938" s="115"/>
      <c r="BG938" s="115"/>
      <c r="BH938" s="115"/>
      <c r="BI938" s="115"/>
      <c r="BJ938" s="78">
        <f t="shared" si="102"/>
        <v>0</v>
      </c>
      <c r="BK938" s="115"/>
      <c r="BL938" s="44">
        <v>42</v>
      </c>
      <c r="BM938" s="79">
        <f t="shared" si="111"/>
        <v>0</v>
      </c>
      <c r="BN938" s="75"/>
      <c r="BO938" s="75"/>
    </row>
    <row r="939" spans="1:67" s="4" customFormat="1" ht="31.2" x14ac:dyDescent="0.3">
      <c r="A939" s="48">
        <v>5</v>
      </c>
      <c r="B939" s="42" t="s">
        <v>927</v>
      </c>
      <c r="C939" s="43" t="s">
        <v>30</v>
      </c>
      <c r="D939" s="41">
        <v>0.5</v>
      </c>
      <c r="E939" s="41"/>
      <c r="F939" s="41">
        <v>0.5</v>
      </c>
      <c r="G939" s="41"/>
      <c r="H939" s="41"/>
      <c r="I939" s="39"/>
      <c r="J939" s="41">
        <v>0.5</v>
      </c>
      <c r="K939" s="42" t="s">
        <v>924</v>
      </c>
      <c r="L939" s="117" t="s">
        <v>67</v>
      </c>
      <c r="M939" s="43">
        <v>25</v>
      </c>
      <c r="N939" s="210">
        <v>769</v>
      </c>
      <c r="O939" s="43"/>
      <c r="P939" s="48"/>
      <c r="Q939" s="115"/>
      <c r="R939" s="115"/>
      <c r="S939" s="115"/>
      <c r="T939" s="115"/>
      <c r="U939" s="115"/>
      <c r="V939" s="115"/>
      <c r="W939" s="115"/>
      <c r="X939" s="115"/>
      <c r="Y939" s="115"/>
      <c r="Z939" s="115">
        <v>0.3</v>
      </c>
      <c r="AA939" s="115"/>
      <c r="AB939" s="115"/>
      <c r="AC939" s="115"/>
      <c r="AD939" s="115"/>
      <c r="AE939" s="115"/>
      <c r="AF939" s="115"/>
      <c r="AG939" s="115"/>
      <c r="AH939" s="115"/>
      <c r="AI939" s="115"/>
      <c r="AJ939" s="115"/>
      <c r="AK939" s="115"/>
      <c r="AL939" s="115"/>
      <c r="AM939" s="115">
        <v>0.17</v>
      </c>
      <c r="AN939" s="115"/>
      <c r="AO939" s="115"/>
      <c r="AP939" s="115"/>
      <c r="AQ939" s="115">
        <v>0.03</v>
      </c>
      <c r="AR939" s="115"/>
      <c r="AS939" s="115"/>
      <c r="AT939" s="115"/>
      <c r="AU939" s="115"/>
      <c r="AV939" s="115"/>
      <c r="AW939" s="115"/>
      <c r="AX939" s="115"/>
      <c r="AY939" s="115"/>
      <c r="AZ939" s="115"/>
      <c r="BA939" s="115"/>
      <c r="BB939" s="115"/>
      <c r="BC939" s="115"/>
      <c r="BD939" s="115"/>
      <c r="BE939" s="115"/>
      <c r="BF939" s="115"/>
      <c r="BG939" s="115"/>
      <c r="BH939" s="115"/>
      <c r="BI939" s="115"/>
      <c r="BJ939" s="78">
        <f t="shared" si="102"/>
        <v>0</v>
      </c>
      <c r="BK939" s="115"/>
      <c r="BL939" s="44">
        <v>42</v>
      </c>
      <c r="BM939" s="79">
        <f t="shared" si="111"/>
        <v>0</v>
      </c>
      <c r="BN939" s="75"/>
      <c r="BO939" s="75"/>
    </row>
    <row r="940" spans="1:67" s="4" customFormat="1" ht="46.8" x14ac:dyDescent="0.3">
      <c r="A940" s="48">
        <v>6</v>
      </c>
      <c r="B940" s="42" t="s">
        <v>590</v>
      </c>
      <c r="C940" s="43" t="s">
        <v>30</v>
      </c>
      <c r="D940" s="41">
        <v>13</v>
      </c>
      <c r="E940" s="41"/>
      <c r="F940" s="41">
        <v>13</v>
      </c>
      <c r="G940" s="41">
        <f>F940-J940</f>
        <v>11.2</v>
      </c>
      <c r="H940" s="41"/>
      <c r="I940" s="39"/>
      <c r="J940" s="41">
        <v>1.8</v>
      </c>
      <c r="K940" s="42" t="s">
        <v>928</v>
      </c>
      <c r="L940" s="117" t="s">
        <v>67</v>
      </c>
      <c r="M940" s="43">
        <v>10</v>
      </c>
      <c r="N940" s="210">
        <v>770</v>
      </c>
      <c r="O940" s="43"/>
      <c r="P940" s="48"/>
      <c r="Q940" s="115"/>
      <c r="R940" s="115"/>
      <c r="S940" s="115"/>
      <c r="T940" s="115"/>
      <c r="U940" s="115"/>
      <c r="V940" s="115"/>
      <c r="W940" s="115"/>
      <c r="X940" s="115"/>
      <c r="Y940" s="115"/>
      <c r="Z940" s="115"/>
      <c r="AA940" s="115">
        <v>0.8</v>
      </c>
      <c r="AB940" s="115"/>
      <c r="AC940" s="115"/>
      <c r="AD940" s="115"/>
      <c r="AE940" s="115"/>
      <c r="AF940" s="115"/>
      <c r="AG940" s="115"/>
      <c r="AH940" s="115"/>
      <c r="AI940" s="115"/>
      <c r="AJ940" s="115"/>
      <c r="AK940" s="115"/>
      <c r="AL940" s="115"/>
      <c r="AM940" s="115"/>
      <c r="AN940" s="115"/>
      <c r="AO940" s="115"/>
      <c r="AP940" s="115"/>
      <c r="AQ940" s="115">
        <v>1</v>
      </c>
      <c r="AR940" s="115"/>
      <c r="AS940" s="115"/>
      <c r="AT940" s="115"/>
      <c r="AU940" s="115"/>
      <c r="AV940" s="115"/>
      <c r="AW940" s="115"/>
      <c r="AX940" s="115"/>
      <c r="AY940" s="115"/>
      <c r="AZ940" s="115"/>
      <c r="BA940" s="115"/>
      <c r="BB940" s="115"/>
      <c r="BC940" s="115"/>
      <c r="BD940" s="115"/>
      <c r="BE940" s="115"/>
      <c r="BF940" s="115"/>
      <c r="BG940" s="115"/>
      <c r="BH940" s="115"/>
      <c r="BI940" s="115"/>
      <c r="BJ940" s="78">
        <f t="shared" ref="BJ940:BJ970" si="112">D940-E940-F940</f>
        <v>0</v>
      </c>
      <c r="BK940" s="115"/>
      <c r="BL940" s="44">
        <v>42</v>
      </c>
      <c r="BM940" s="79">
        <f t="shared" si="111"/>
        <v>0</v>
      </c>
      <c r="BN940" s="75"/>
      <c r="BO940" s="75"/>
    </row>
    <row r="941" spans="1:67" s="4" customFormat="1" ht="31.2" x14ac:dyDescent="0.3">
      <c r="A941" s="48">
        <v>7</v>
      </c>
      <c r="B941" s="42" t="s">
        <v>592</v>
      </c>
      <c r="C941" s="43" t="s">
        <v>30</v>
      </c>
      <c r="D941" s="41">
        <v>8</v>
      </c>
      <c r="E941" s="41"/>
      <c r="F941" s="41">
        <v>8</v>
      </c>
      <c r="G941" s="41">
        <v>8</v>
      </c>
      <c r="H941" s="41"/>
      <c r="I941" s="39"/>
      <c r="J941" s="41"/>
      <c r="K941" s="42" t="s">
        <v>929</v>
      </c>
      <c r="L941" s="117" t="s">
        <v>67</v>
      </c>
      <c r="M941" s="43">
        <v>33</v>
      </c>
      <c r="N941" s="210">
        <v>771</v>
      </c>
      <c r="O941" s="43"/>
      <c r="P941" s="48"/>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78">
        <f t="shared" si="112"/>
        <v>0</v>
      </c>
      <c r="BK941" s="115"/>
      <c r="BL941" s="44">
        <v>42</v>
      </c>
      <c r="BM941" s="79">
        <f t="shared" si="111"/>
        <v>0</v>
      </c>
      <c r="BN941" s="75"/>
      <c r="BO941" s="75"/>
    </row>
    <row r="942" spans="1:67" s="4" customFormat="1" x14ac:dyDescent="0.3">
      <c r="A942" s="48">
        <v>8</v>
      </c>
      <c r="B942" s="42" t="s">
        <v>593</v>
      </c>
      <c r="C942" s="43" t="s">
        <v>30</v>
      </c>
      <c r="D942" s="41">
        <v>4.5</v>
      </c>
      <c r="E942" s="41"/>
      <c r="F942" s="41">
        <v>4.5</v>
      </c>
      <c r="G942" s="41">
        <v>4.5</v>
      </c>
      <c r="H942" s="41"/>
      <c r="I942" s="39"/>
      <c r="J942" s="41"/>
      <c r="K942" s="42" t="s">
        <v>917</v>
      </c>
      <c r="L942" s="117" t="s">
        <v>67</v>
      </c>
      <c r="M942" s="43">
        <v>34</v>
      </c>
      <c r="N942" s="210">
        <v>772</v>
      </c>
      <c r="O942" s="43"/>
      <c r="P942" s="48"/>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78">
        <f t="shared" si="112"/>
        <v>0</v>
      </c>
      <c r="BK942" s="115"/>
      <c r="BL942" s="44">
        <v>42</v>
      </c>
      <c r="BM942" s="79">
        <f t="shared" si="111"/>
        <v>0</v>
      </c>
      <c r="BN942" s="75"/>
      <c r="BO942" s="75"/>
    </row>
    <row r="943" spans="1:67" s="4" customFormat="1" x14ac:dyDescent="0.3">
      <c r="A943" s="48">
        <v>9</v>
      </c>
      <c r="B943" s="42" t="s">
        <v>930</v>
      </c>
      <c r="C943" s="43" t="s">
        <v>30</v>
      </c>
      <c r="D943" s="41">
        <v>3.55</v>
      </c>
      <c r="E943" s="41"/>
      <c r="F943" s="41">
        <v>3.55</v>
      </c>
      <c r="G943" s="41">
        <v>2.11</v>
      </c>
      <c r="H943" s="41"/>
      <c r="I943" s="39"/>
      <c r="J943" s="41">
        <v>1.44</v>
      </c>
      <c r="K943" s="42" t="s">
        <v>931</v>
      </c>
      <c r="L943" s="117" t="s">
        <v>67</v>
      </c>
      <c r="M943" s="43">
        <v>35</v>
      </c>
      <c r="N943" s="210">
        <v>773</v>
      </c>
      <c r="O943" s="43"/>
      <c r="P943" s="43"/>
      <c r="Q943" s="115"/>
      <c r="R943" s="115"/>
      <c r="S943" s="115"/>
      <c r="T943" s="115"/>
      <c r="U943" s="115"/>
      <c r="V943" s="115"/>
      <c r="W943" s="115"/>
      <c r="X943" s="115"/>
      <c r="Y943" s="115"/>
      <c r="Z943" s="115"/>
      <c r="AA943" s="115">
        <v>1</v>
      </c>
      <c r="AB943" s="115"/>
      <c r="AC943" s="115"/>
      <c r="AD943" s="115"/>
      <c r="AE943" s="115"/>
      <c r="AF943" s="115"/>
      <c r="AG943" s="115"/>
      <c r="AH943" s="115"/>
      <c r="AI943" s="115"/>
      <c r="AJ943" s="115"/>
      <c r="AK943" s="115"/>
      <c r="AL943" s="115"/>
      <c r="AM943" s="115"/>
      <c r="AN943" s="115"/>
      <c r="AO943" s="115"/>
      <c r="AP943" s="115"/>
      <c r="AQ943" s="115">
        <v>0.44</v>
      </c>
      <c r="AR943" s="115"/>
      <c r="AS943" s="115"/>
      <c r="AT943" s="115"/>
      <c r="AU943" s="115"/>
      <c r="AV943" s="115"/>
      <c r="AW943" s="115"/>
      <c r="AX943" s="115"/>
      <c r="AY943" s="115"/>
      <c r="AZ943" s="115"/>
      <c r="BA943" s="115"/>
      <c r="BB943" s="115"/>
      <c r="BC943" s="115"/>
      <c r="BD943" s="115"/>
      <c r="BE943" s="115"/>
      <c r="BF943" s="115"/>
      <c r="BG943" s="115"/>
      <c r="BH943" s="115"/>
      <c r="BI943" s="115"/>
      <c r="BJ943" s="78">
        <f t="shared" si="112"/>
        <v>0</v>
      </c>
      <c r="BK943" s="115"/>
      <c r="BL943" s="44">
        <v>42</v>
      </c>
      <c r="BM943" s="79">
        <f t="shared" si="111"/>
        <v>0</v>
      </c>
      <c r="BN943" s="75"/>
      <c r="BO943" s="75"/>
    </row>
    <row r="944" spans="1:67" s="4" customFormat="1" x14ac:dyDescent="0.3">
      <c r="A944" s="48">
        <v>10</v>
      </c>
      <c r="B944" s="42" t="s">
        <v>932</v>
      </c>
      <c r="C944" s="43" t="s">
        <v>30</v>
      </c>
      <c r="D944" s="41">
        <v>3.3</v>
      </c>
      <c r="E944" s="41"/>
      <c r="F944" s="41">
        <v>3.3</v>
      </c>
      <c r="G944" s="41">
        <v>3</v>
      </c>
      <c r="H944" s="41"/>
      <c r="I944" s="39"/>
      <c r="J944" s="41">
        <v>0.3</v>
      </c>
      <c r="K944" s="42" t="s">
        <v>73</v>
      </c>
      <c r="L944" s="117" t="s">
        <v>67</v>
      </c>
      <c r="M944" s="43">
        <v>38</v>
      </c>
      <c r="N944" s="210">
        <v>774</v>
      </c>
      <c r="O944" s="43"/>
      <c r="P944" s="43"/>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v>0.3</v>
      </c>
      <c r="AR944" s="115"/>
      <c r="AS944" s="115"/>
      <c r="AT944" s="115"/>
      <c r="AU944" s="115"/>
      <c r="AV944" s="115"/>
      <c r="AW944" s="115"/>
      <c r="AX944" s="115"/>
      <c r="AY944" s="115"/>
      <c r="AZ944" s="115"/>
      <c r="BA944" s="115"/>
      <c r="BB944" s="115"/>
      <c r="BC944" s="115"/>
      <c r="BD944" s="115"/>
      <c r="BE944" s="115"/>
      <c r="BF944" s="115"/>
      <c r="BG944" s="115"/>
      <c r="BH944" s="115"/>
      <c r="BI944" s="115"/>
      <c r="BJ944" s="78">
        <f t="shared" si="112"/>
        <v>0</v>
      </c>
      <c r="BK944" s="115"/>
      <c r="BL944" s="44">
        <v>42</v>
      </c>
      <c r="BM944" s="79">
        <f t="shared" si="111"/>
        <v>0</v>
      </c>
      <c r="BN944" s="75"/>
      <c r="BO944" s="75"/>
    </row>
    <row r="945" spans="1:67" s="4" customFormat="1" ht="31.2" x14ac:dyDescent="0.3">
      <c r="A945" s="48">
        <v>11</v>
      </c>
      <c r="B945" s="102" t="s">
        <v>933</v>
      </c>
      <c r="C945" s="43" t="s">
        <v>30</v>
      </c>
      <c r="D945" s="41">
        <v>38.85</v>
      </c>
      <c r="E945" s="41"/>
      <c r="F945" s="41">
        <v>38.85</v>
      </c>
      <c r="G945" s="205">
        <v>32.26</v>
      </c>
      <c r="H945" s="205"/>
      <c r="I945" s="205"/>
      <c r="J945" s="205">
        <v>6.59</v>
      </c>
      <c r="K945" s="42" t="s">
        <v>73</v>
      </c>
      <c r="L945" s="117" t="s">
        <v>67</v>
      </c>
      <c r="M945" s="43">
        <v>41</v>
      </c>
      <c r="N945" s="210">
        <v>775</v>
      </c>
      <c r="O945" s="43"/>
      <c r="P945" s="48"/>
      <c r="Q945" s="48"/>
      <c r="R945" s="48"/>
      <c r="S945" s="48"/>
      <c r="T945" s="48"/>
      <c r="U945" s="48"/>
      <c r="V945" s="48"/>
      <c r="W945" s="48"/>
      <c r="X945" s="48"/>
      <c r="Y945" s="48"/>
      <c r="Z945" s="48">
        <v>2.04</v>
      </c>
      <c r="AA945" s="48"/>
      <c r="AB945" s="48"/>
      <c r="AC945" s="48"/>
      <c r="AD945" s="48"/>
      <c r="AE945" s="48"/>
      <c r="AF945" s="48"/>
      <c r="AG945" s="48"/>
      <c r="AH945" s="48"/>
      <c r="AI945" s="48"/>
      <c r="AJ945" s="48"/>
      <c r="AK945" s="48"/>
      <c r="AL945" s="48"/>
      <c r="AM945" s="48"/>
      <c r="AN945" s="48"/>
      <c r="AO945" s="48"/>
      <c r="AP945" s="48"/>
      <c r="AQ945" s="48">
        <v>3</v>
      </c>
      <c r="AR945" s="48"/>
      <c r="AS945" s="48"/>
      <c r="AT945" s="48"/>
      <c r="AU945" s="48"/>
      <c r="AV945" s="48"/>
      <c r="AW945" s="48"/>
      <c r="AX945" s="48"/>
      <c r="AY945" s="48"/>
      <c r="AZ945" s="48"/>
      <c r="BA945" s="48"/>
      <c r="BB945" s="48">
        <v>0.55000000000000004</v>
      </c>
      <c r="BC945" s="48"/>
      <c r="BD945" s="48"/>
      <c r="BE945" s="48">
        <v>1</v>
      </c>
      <c r="BF945" s="48"/>
      <c r="BG945" s="48"/>
      <c r="BH945" s="48"/>
      <c r="BI945" s="48"/>
      <c r="BJ945" s="78">
        <f t="shared" si="112"/>
        <v>0</v>
      </c>
      <c r="BK945" s="115"/>
      <c r="BL945" s="44">
        <v>42</v>
      </c>
      <c r="BM945" s="79">
        <f t="shared" si="111"/>
        <v>0</v>
      </c>
      <c r="BN945" s="75"/>
      <c r="BO945" s="75"/>
    </row>
    <row r="946" spans="1:67" s="4" customFormat="1" ht="31.2" x14ac:dyDescent="0.3">
      <c r="A946" s="48">
        <v>12</v>
      </c>
      <c r="B946" s="102" t="s">
        <v>910</v>
      </c>
      <c r="C946" s="43" t="s">
        <v>30</v>
      </c>
      <c r="D946" s="41">
        <v>10</v>
      </c>
      <c r="E946" s="41"/>
      <c r="F946" s="41">
        <v>10</v>
      </c>
      <c r="G946" s="41"/>
      <c r="H946" s="41"/>
      <c r="I946" s="39"/>
      <c r="J946" s="41">
        <v>10</v>
      </c>
      <c r="K946" s="42"/>
      <c r="L946" s="117" t="s">
        <v>67</v>
      </c>
      <c r="M946" s="43"/>
      <c r="N946" s="210">
        <v>776</v>
      </c>
      <c r="O946" s="43"/>
      <c r="P946" s="48"/>
      <c r="Q946" s="48"/>
      <c r="R946" s="48"/>
      <c r="S946" s="48"/>
      <c r="T946" s="48"/>
      <c r="U946" s="48"/>
      <c r="V946" s="48"/>
      <c r="W946" s="48"/>
      <c r="X946" s="48"/>
      <c r="Y946" s="48"/>
      <c r="Z946" s="48"/>
      <c r="AA946" s="48">
        <v>10</v>
      </c>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c r="BG946" s="48"/>
      <c r="BH946" s="48"/>
      <c r="BI946" s="48"/>
      <c r="BJ946" s="78">
        <f t="shared" si="112"/>
        <v>0</v>
      </c>
      <c r="BK946" s="115"/>
      <c r="BL946" s="44"/>
      <c r="BM946" s="79">
        <f t="shared" si="111"/>
        <v>0</v>
      </c>
      <c r="BN946" s="75"/>
      <c r="BO946" s="75"/>
    </row>
    <row r="947" spans="1:67" x14ac:dyDescent="0.3">
      <c r="A947" s="76" t="s">
        <v>652</v>
      </c>
      <c r="B947" s="77" t="s">
        <v>653</v>
      </c>
      <c r="C947" s="76" t="s">
        <v>31</v>
      </c>
      <c r="D947" s="85">
        <f t="shared" ref="D947:L947" si="113">SUM(D948:D952)</f>
        <v>36.47</v>
      </c>
      <c r="E947" s="85">
        <f t="shared" si="113"/>
        <v>0.8</v>
      </c>
      <c r="F947" s="85">
        <f t="shared" si="113"/>
        <v>35.67</v>
      </c>
      <c r="G947" s="85">
        <f t="shared" si="113"/>
        <v>24.05</v>
      </c>
      <c r="H947" s="85">
        <f t="shared" si="113"/>
        <v>0</v>
      </c>
      <c r="I947" s="85">
        <f t="shared" si="113"/>
        <v>0</v>
      </c>
      <c r="J947" s="85">
        <f t="shared" si="113"/>
        <v>11.619999999999997</v>
      </c>
      <c r="K947" s="86">
        <f t="shared" si="113"/>
        <v>0</v>
      </c>
      <c r="L947" s="86">
        <f t="shared" si="113"/>
        <v>0</v>
      </c>
      <c r="M947" s="85"/>
      <c r="N947" s="85"/>
      <c r="O947" s="85"/>
      <c r="P947" s="85">
        <f t="shared" ref="P947:BH947" si="114">SUM(P948:P952)</f>
        <v>0</v>
      </c>
      <c r="Q947" s="85">
        <f t="shared" si="114"/>
        <v>0</v>
      </c>
      <c r="R947" s="85">
        <f t="shared" si="114"/>
        <v>0</v>
      </c>
      <c r="S947" s="85">
        <f t="shared" si="114"/>
        <v>0</v>
      </c>
      <c r="T947" s="85">
        <f t="shared" si="114"/>
        <v>0</v>
      </c>
      <c r="U947" s="85">
        <f t="shared" si="114"/>
        <v>0</v>
      </c>
      <c r="V947" s="85">
        <f t="shared" si="114"/>
        <v>0</v>
      </c>
      <c r="W947" s="85">
        <f t="shared" si="114"/>
        <v>0</v>
      </c>
      <c r="X947" s="85">
        <f t="shared" si="114"/>
        <v>0</v>
      </c>
      <c r="Y947" s="85">
        <f t="shared" si="114"/>
        <v>0</v>
      </c>
      <c r="Z947" s="85">
        <f t="shared" si="114"/>
        <v>6.7799999999999985</v>
      </c>
      <c r="AA947" s="85">
        <f t="shared" si="114"/>
        <v>0</v>
      </c>
      <c r="AB947" s="85">
        <f t="shared" si="114"/>
        <v>0</v>
      </c>
      <c r="AC947" s="85">
        <f t="shared" si="114"/>
        <v>0</v>
      </c>
      <c r="AD947" s="85">
        <f t="shared" si="114"/>
        <v>3.37</v>
      </c>
      <c r="AE947" s="85">
        <f t="shared" si="114"/>
        <v>0</v>
      </c>
      <c r="AF947" s="85">
        <f t="shared" si="114"/>
        <v>0</v>
      </c>
      <c r="AG947" s="85">
        <f t="shared" si="114"/>
        <v>0</v>
      </c>
      <c r="AH947" s="85">
        <f t="shared" si="114"/>
        <v>0</v>
      </c>
      <c r="AI947" s="85">
        <f t="shared" si="114"/>
        <v>0</v>
      </c>
      <c r="AJ947" s="85">
        <f t="shared" si="114"/>
        <v>0</v>
      </c>
      <c r="AK947" s="85">
        <f t="shared" si="114"/>
        <v>0</v>
      </c>
      <c r="AL947" s="85">
        <f t="shared" si="114"/>
        <v>0</v>
      </c>
      <c r="AM947" s="85">
        <f t="shared" si="114"/>
        <v>0</v>
      </c>
      <c r="AN947" s="85">
        <f t="shared" si="114"/>
        <v>0</v>
      </c>
      <c r="AO947" s="85">
        <f t="shared" si="114"/>
        <v>0</v>
      </c>
      <c r="AP947" s="85">
        <f t="shared" si="114"/>
        <v>0</v>
      </c>
      <c r="AQ947" s="85">
        <f t="shared" si="114"/>
        <v>0.37</v>
      </c>
      <c r="AR947" s="85">
        <f t="shared" si="114"/>
        <v>0</v>
      </c>
      <c r="AS947" s="85">
        <f t="shared" si="114"/>
        <v>0</v>
      </c>
      <c r="AT947" s="85">
        <f t="shared" si="114"/>
        <v>0</v>
      </c>
      <c r="AU947" s="85">
        <f t="shared" si="114"/>
        <v>0</v>
      </c>
      <c r="AV947" s="85">
        <f t="shared" si="114"/>
        <v>0</v>
      </c>
      <c r="AW947" s="85">
        <f t="shared" si="114"/>
        <v>0</v>
      </c>
      <c r="AX947" s="85">
        <f t="shared" si="114"/>
        <v>0</v>
      </c>
      <c r="AY947" s="85">
        <f t="shared" si="114"/>
        <v>0</v>
      </c>
      <c r="AZ947" s="85">
        <f t="shared" si="114"/>
        <v>0</v>
      </c>
      <c r="BA947" s="85">
        <f t="shared" si="114"/>
        <v>0</v>
      </c>
      <c r="BB947" s="85">
        <f t="shared" si="114"/>
        <v>0</v>
      </c>
      <c r="BC947" s="85">
        <f t="shared" si="114"/>
        <v>0</v>
      </c>
      <c r="BD947" s="85">
        <f t="shared" si="114"/>
        <v>0.5</v>
      </c>
      <c r="BE947" s="85">
        <f t="shared" si="114"/>
        <v>0.6</v>
      </c>
      <c r="BF947" s="85">
        <f t="shared" si="114"/>
        <v>0</v>
      </c>
      <c r="BG947" s="85">
        <f t="shared" si="114"/>
        <v>0</v>
      </c>
      <c r="BH947" s="85">
        <f t="shared" si="114"/>
        <v>0</v>
      </c>
      <c r="BI947" s="85"/>
      <c r="BJ947" s="78">
        <f t="shared" si="112"/>
        <v>0</v>
      </c>
      <c r="BK947" s="115"/>
      <c r="BL947" s="44">
        <v>43</v>
      </c>
      <c r="BM947" s="79">
        <f t="shared" si="111"/>
        <v>0</v>
      </c>
      <c r="BN947" s="75"/>
      <c r="BO947" s="75"/>
    </row>
    <row r="948" spans="1:67" s="4" customFormat="1" x14ac:dyDescent="0.3">
      <c r="A948" s="48">
        <v>1</v>
      </c>
      <c r="B948" s="42" t="s">
        <v>60</v>
      </c>
      <c r="C948" s="43" t="s">
        <v>31</v>
      </c>
      <c r="D948" s="41">
        <v>1.1000000000000001</v>
      </c>
      <c r="E948" s="41">
        <v>0.8</v>
      </c>
      <c r="F948" s="41">
        <v>0.3</v>
      </c>
      <c r="G948" s="41">
        <v>0</v>
      </c>
      <c r="H948" s="41"/>
      <c r="I948" s="39"/>
      <c r="J948" s="41">
        <f>SUM(V948:BG948)</f>
        <v>0.3</v>
      </c>
      <c r="K948" s="42" t="s">
        <v>895</v>
      </c>
      <c r="L948" s="42" t="s">
        <v>58</v>
      </c>
      <c r="M948" s="43">
        <v>15</v>
      </c>
      <c r="N948" s="210">
        <v>777</v>
      </c>
      <c r="O948" s="43"/>
      <c r="P948" s="105"/>
      <c r="Q948" s="84"/>
      <c r="R948" s="84"/>
      <c r="S948" s="84"/>
      <c r="T948" s="84"/>
      <c r="U948" s="84"/>
      <c r="V948" s="84"/>
      <c r="W948" s="84"/>
      <c r="X948" s="84"/>
      <c r="Y948" s="84"/>
      <c r="Z948" s="84"/>
      <c r="AA948" s="84"/>
      <c r="AB948" s="84"/>
      <c r="AC948" s="84"/>
      <c r="AD948" s="84"/>
      <c r="AE948" s="84"/>
      <c r="AF948" s="84"/>
      <c r="AG948" s="84"/>
      <c r="AH948" s="84"/>
      <c r="AI948" s="84"/>
      <c r="AJ948" s="84"/>
      <c r="AK948" s="84"/>
      <c r="AL948" s="84"/>
      <c r="AM948" s="84"/>
      <c r="AN948" s="84"/>
      <c r="AO948" s="84"/>
      <c r="AP948" s="84"/>
      <c r="AQ948" s="84"/>
      <c r="AR948" s="84"/>
      <c r="AS948" s="84"/>
      <c r="AT948" s="84"/>
      <c r="AU948" s="84"/>
      <c r="AV948" s="84"/>
      <c r="AW948" s="84"/>
      <c r="AX948" s="84"/>
      <c r="AY948" s="84"/>
      <c r="AZ948" s="84"/>
      <c r="BA948" s="84"/>
      <c r="BB948" s="84"/>
      <c r="BC948" s="84"/>
      <c r="BD948" s="84"/>
      <c r="BE948" s="84">
        <v>0.3</v>
      </c>
      <c r="BF948" s="84"/>
      <c r="BG948" s="84"/>
      <c r="BH948" s="84"/>
      <c r="BI948" s="84"/>
      <c r="BJ948" s="78">
        <f t="shared" si="112"/>
        <v>0</v>
      </c>
      <c r="BK948" s="84"/>
      <c r="BL948" s="44">
        <v>43</v>
      </c>
      <c r="BM948" s="79">
        <f t="shared" si="111"/>
        <v>0</v>
      </c>
      <c r="BN948" s="75"/>
      <c r="BO948" s="75"/>
    </row>
    <row r="949" spans="1:67" s="4" customFormat="1" ht="28.5" customHeight="1" x14ac:dyDescent="0.3">
      <c r="A949" s="48">
        <v>2</v>
      </c>
      <c r="B949" s="42" t="s">
        <v>800</v>
      </c>
      <c r="C949" s="43" t="s">
        <v>31</v>
      </c>
      <c r="D949" s="39">
        <v>12.1</v>
      </c>
      <c r="E949" s="39"/>
      <c r="F949" s="39">
        <v>12.1</v>
      </c>
      <c r="G949" s="39">
        <v>12.1</v>
      </c>
      <c r="H949" s="39"/>
      <c r="I949" s="39"/>
      <c r="J949" s="39"/>
      <c r="K949" s="42" t="s">
        <v>929</v>
      </c>
      <c r="L949" s="117" t="s">
        <v>67</v>
      </c>
      <c r="M949" s="43">
        <v>54</v>
      </c>
      <c r="N949" s="210">
        <v>778</v>
      </c>
      <c r="O949" s="43"/>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c r="BG949" s="48"/>
      <c r="BH949" s="48"/>
      <c r="BI949" s="48"/>
      <c r="BJ949" s="78">
        <f t="shared" si="112"/>
        <v>0</v>
      </c>
      <c r="BK949" s="115"/>
      <c r="BL949" s="44">
        <v>43</v>
      </c>
      <c r="BM949" s="79">
        <f t="shared" si="111"/>
        <v>0</v>
      </c>
      <c r="BN949" s="75"/>
      <c r="BO949" s="75"/>
    </row>
    <row r="950" spans="1:67" s="4" customFormat="1" x14ac:dyDescent="0.3">
      <c r="A950" s="48">
        <v>3</v>
      </c>
      <c r="B950" s="50" t="s">
        <v>345</v>
      </c>
      <c r="C950" s="39" t="s">
        <v>31</v>
      </c>
      <c r="D950" s="39">
        <v>1.7</v>
      </c>
      <c r="E950" s="39"/>
      <c r="F950" s="39">
        <v>1.7</v>
      </c>
      <c r="G950" s="39">
        <v>0.4</v>
      </c>
      <c r="H950" s="39">
        <v>0</v>
      </c>
      <c r="I950" s="39"/>
      <c r="J950" s="39">
        <v>1.3</v>
      </c>
      <c r="K950" s="50" t="s">
        <v>128</v>
      </c>
      <c r="L950" s="122" t="s">
        <v>125</v>
      </c>
      <c r="M950" s="110">
        <v>21</v>
      </c>
      <c r="N950" s="211">
        <v>779</v>
      </c>
      <c r="O950" s="110"/>
      <c r="P950" s="39"/>
      <c r="Q950" s="39"/>
      <c r="R950" s="39"/>
      <c r="S950" s="39"/>
      <c r="T950" s="39"/>
      <c r="U950" s="39"/>
      <c r="V950" s="39"/>
      <c r="W950" s="39"/>
      <c r="X950" s="39"/>
      <c r="Y950" s="39"/>
      <c r="Z950" s="39"/>
      <c r="AA950" s="39"/>
      <c r="AB950" s="39"/>
      <c r="AC950" s="39"/>
      <c r="AD950" s="39">
        <v>1.3</v>
      </c>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c r="BC950" s="39"/>
      <c r="BD950" s="39"/>
      <c r="BE950" s="39"/>
      <c r="BF950" s="39"/>
      <c r="BG950" s="39"/>
      <c r="BH950" s="39"/>
      <c r="BI950" s="39"/>
      <c r="BJ950" s="78">
        <f t="shared" si="112"/>
        <v>0</v>
      </c>
      <c r="BK950" s="39"/>
      <c r="BL950" s="44">
        <v>43</v>
      </c>
      <c r="BM950" s="79">
        <f t="shared" si="111"/>
        <v>0</v>
      </c>
      <c r="BN950" s="75"/>
      <c r="BO950" s="75"/>
    </row>
    <row r="951" spans="1:67" s="4" customFormat="1" x14ac:dyDescent="0.3">
      <c r="A951" s="48">
        <v>4</v>
      </c>
      <c r="B951" s="42" t="s">
        <v>446</v>
      </c>
      <c r="C951" s="48" t="s">
        <v>31</v>
      </c>
      <c r="D951" s="39">
        <v>20.96</v>
      </c>
      <c r="E951" s="39"/>
      <c r="F951" s="39">
        <v>20.96</v>
      </c>
      <c r="G951" s="39">
        <f>23.41-9.04-2.82</f>
        <v>11.55</v>
      </c>
      <c r="H951" s="39"/>
      <c r="I951" s="39"/>
      <c r="J951" s="39">
        <f>SUM(P951:BG951)</f>
        <v>9.4099999999999984</v>
      </c>
      <c r="K951" s="42" t="s">
        <v>447</v>
      </c>
      <c r="L951" s="42" t="s">
        <v>415</v>
      </c>
      <c r="M951" s="43">
        <v>21</v>
      </c>
      <c r="N951" s="210">
        <v>780</v>
      </c>
      <c r="O951" s="43"/>
      <c r="P951" s="84"/>
      <c r="Q951" s="84"/>
      <c r="R951" s="84"/>
      <c r="S951" s="84"/>
      <c r="T951" s="84"/>
      <c r="U951" s="84"/>
      <c r="V951" s="84"/>
      <c r="W951" s="84"/>
      <c r="X951" s="84"/>
      <c r="Y951" s="84"/>
      <c r="Z951" s="84">
        <f>1.41+1+0.17+0.17+0.16+0.13+0.13+0.13+0.15+0.12+0.57+0.27+0.53+0.17+0.17+0.1+0.17+0.14+0.05+0.06+0.14+0.1+0.05+0.08</f>
        <v>6.1699999999999982</v>
      </c>
      <c r="AA951" s="84"/>
      <c r="AB951" s="84"/>
      <c r="AC951" s="84"/>
      <c r="AD951" s="84">
        <v>2.0699999999999998</v>
      </c>
      <c r="AE951" s="84"/>
      <c r="AF951" s="84"/>
      <c r="AG951" s="84"/>
      <c r="AH951" s="84"/>
      <c r="AI951" s="84"/>
      <c r="AJ951" s="84"/>
      <c r="AK951" s="84"/>
      <c r="AL951" s="84"/>
      <c r="AM951" s="84"/>
      <c r="AN951" s="84"/>
      <c r="AO951" s="84"/>
      <c r="AP951" s="84"/>
      <c r="AQ951" s="84">
        <v>0.37</v>
      </c>
      <c r="AR951" s="84"/>
      <c r="AS951" s="84"/>
      <c r="AT951" s="84"/>
      <c r="AU951" s="84"/>
      <c r="AV951" s="84"/>
      <c r="AW951" s="84"/>
      <c r="AX951" s="84"/>
      <c r="AY951" s="84"/>
      <c r="AZ951" s="84"/>
      <c r="BA951" s="84"/>
      <c r="BB951" s="84"/>
      <c r="BC951" s="84"/>
      <c r="BD951" s="84">
        <v>0.5</v>
      </c>
      <c r="BE951" s="84">
        <v>0.3</v>
      </c>
      <c r="BF951" s="84"/>
      <c r="BG951" s="84"/>
      <c r="BH951" s="84"/>
      <c r="BI951" s="84"/>
      <c r="BJ951" s="78">
        <f t="shared" si="112"/>
        <v>0</v>
      </c>
      <c r="BK951" s="84"/>
      <c r="BL951" s="44">
        <v>43</v>
      </c>
      <c r="BM951" s="79">
        <f t="shared" si="111"/>
        <v>0</v>
      </c>
      <c r="BN951" s="75"/>
      <c r="BO951" s="75"/>
    </row>
    <row r="952" spans="1:67" s="4" customFormat="1" ht="33.75" customHeight="1" x14ac:dyDescent="0.3">
      <c r="A952" s="48">
        <v>5</v>
      </c>
      <c r="B952" s="42" t="s">
        <v>864</v>
      </c>
      <c r="C952" s="43" t="s">
        <v>31</v>
      </c>
      <c r="D952" s="41">
        <v>0.61</v>
      </c>
      <c r="E952" s="41"/>
      <c r="F952" s="41">
        <v>0.61</v>
      </c>
      <c r="G952" s="41"/>
      <c r="H952" s="41"/>
      <c r="I952" s="41"/>
      <c r="J952" s="41">
        <v>0.61</v>
      </c>
      <c r="K952" s="42" t="s">
        <v>859</v>
      </c>
      <c r="L952" s="42" t="s">
        <v>688</v>
      </c>
      <c r="M952" s="43">
        <v>1</v>
      </c>
      <c r="N952" s="210">
        <v>781</v>
      </c>
      <c r="O952" s="43"/>
      <c r="P952" s="97"/>
      <c r="Q952" s="97"/>
      <c r="R952" s="97"/>
      <c r="S952" s="97"/>
      <c r="T952" s="97"/>
      <c r="U952" s="97"/>
      <c r="V952" s="97"/>
      <c r="W952" s="97"/>
      <c r="X952" s="97"/>
      <c r="Y952" s="97"/>
      <c r="Z952" s="97">
        <v>0.61</v>
      </c>
      <c r="AA952" s="97"/>
      <c r="AB952" s="97"/>
      <c r="AC952" s="97"/>
      <c r="AD952" s="97"/>
      <c r="AE952" s="97"/>
      <c r="AF952" s="97"/>
      <c r="AG952" s="97"/>
      <c r="AH952" s="97"/>
      <c r="AI952" s="97"/>
      <c r="AJ952" s="97"/>
      <c r="AK952" s="97"/>
      <c r="AL952" s="97"/>
      <c r="AM952" s="97"/>
      <c r="AN952" s="97"/>
      <c r="AO952" s="97"/>
      <c r="AP952" s="97"/>
      <c r="AQ952" s="97"/>
      <c r="AR952" s="97"/>
      <c r="AS952" s="97"/>
      <c r="AT952" s="97"/>
      <c r="AU952" s="97"/>
      <c r="AV952" s="97"/>
      <c r="AW952" s="97"/>
      <c r="AX952" s="97"/>
      <c r="AY952" s="97"/>
      <c r="AZ952" s="97"/>
      <c r="BA952" s="97"/>
      <c r="BB952" s="97"/>
      <c r="BC952" s="97"/>
      <c r="BD952" s="97"/>
      <c r="BE952" s="97"/>
      <c r="BF952" s="97"/>
      <c r="BG952" s="97"/>
      <c r="BH952" s="97"/>
      <c r="BI952" s="97"/>
      <c r="BJ952" s="78">
        <f t="shared" si="112"/>
        <v>0</v>
      </c>
      <c r="BK952" s="97"/>
      <c r="BL952" s="97">
        <v>43</v>
      </c>
      <c r="BM952" s="79">
        <f t="shared" si="111"/>
        <v>0</v>
      </c>
      <c r="BN952" s="75"/>
      <c r="BO952" s="75"/>
    </row>
    <row r="953" spans="1:67" x14ac:dyDescent="0.3">
      <c r="A953" s="76" t="s">
        <v>654</v>
      </c>
      <c r="B953" s="77" t="s">
        <v>655</v>
      </c>
      <c r="C953" s="76" t="s">
        <v>51</v>
      </c>
      <c r="D953" s="81">
        <f>SUM(D954:D970)</f>
        <v>10.070000000000002</v>
      </c>
      <c r="E953" s="81">
        <f t="shared" ref="E953:BH953" si="115">SUM(E954:E970)</f>
        <v>2.5</v>
      </c>
      <c r="F953" s="81">
        <f t="shared" si="115"/>
        <v>7.57</v>
      </c>
      <c r="G953" s="81">
        <f t="shared" si="115"/>
        <v>2.0700000000000003</v>
      </c>
      <c r="H953" s="81">
        <f t="shared" si="115"/>
        <v>0</v>
      </c>
      <c r="I953" s="81">
        <f t="shared" si="115"/>
        <v>0</v>
      </c>
      <c r="J953" s="81">
        <f t="shared" si="115"/>
        <v>5.5000000000000009</v>
      </c>
      <c r="K953" s="91">
        <f t="shared" si="115"/>
        <v>0</v>
      </c>
      <c r="L953" s="91">
        <f t="shared" si="115"/>
        <v>0</v>
      </c>
      <c r="M953" s="90"/>
      <c r="N953" s="90"/>
      <c r="O953" s="90"/>
      <c r="P953" s="90">
        <f t="shared" si="115"/>
        <v>0</v>
      </c>
      <c r="Q953" s="90">
        <f t="shared" si="115"/>
        <v>0</v>
      </c>
      <c r="R953" s="90">
        <f t="shared" si="115"/>
        <v>0</v>
      </c>
      <c r="S953" s="90">
        <f t="shared" si="115"/>
        <v>0</v>
      </c>
      <c r="T953" s="90">
        <f t="shared" si="115"/>
        <v>0</v>
      </c>
      <c r="U953" s="90">
        <f t="shared" si="115"/>
        <v>0</v>
      </c>
      <c r="V953" s="90">
        <f t="shared" si="115"/>
        <v>0</v>
      </c>
      <c r="W953" s="90">
        <f t="shared" si="115"/>
        <v>0</v>
      </c>
      <c r="X953" s="90">
        <f t="shared" si="115"/>
        <v>0.4</v>
      </c>
      <c r="Y953" s="90">
        <f t="shared" si="115"/>
        <v>0</v>
      </c>
      <c r="Z953" s="90">
        <f t="shared" si="115"/>
        <v>2.75</v>
      </c>
      <c r="AA953" s="90">
        <f t="shared" si="115"/>
        <v>0.34</v>
      </c>
      <c r="AB953" s="90">
        <f t="shared" si="115"/>
        <v>0</v>
      </c>
      <c r="AC953" s="90">
        <f t="shared" si="115"/>
        <v>0</v>
      </c>
      <c r="AD953" s="90">
        <f t="shared" si="115"/>
        <v>0</v>
      </c>
      <c r="AE953" s="90">
        <f t="shared" si="115"/>
        <v>0</v>
      </c>
      <c r="AF953" s="90">
        <f t="shared" si="115"/>
        <v>0</v>
      </c>
      <c r="AG953" s="90">
        <f t="shared" si="115"/>
        <v>0</v>
      </c>
      <c r="AH953" s="90">
        <f t="shared" si="115"/>
        <v>0</v>
      </c>
      <c r="AI953" s="90">
        <f t="shared" si="115"/>
        <v>0</v>
      </c>
      <c r="AJ953" s="90">
        <f t="shared" si="115"/>
        <v>0</v>
      </c>
      <c r="AK953" s="90">
        <f t="shared" si="115"/>
        <v>0</v>
      </c>
      <c r="AL953" s="90">
        <f t="shared" si="115"/>
        <v>0</v>
      </c>
      <c r="AM953" s="90">
        <f t="shared" si="115"/>
        <v>0</v>
      </c>
      <c r="AN953" s="90">
        <f t="shared" si="115"/>
        <v>0</v>
      </c>
      <c r="AO953" s="90">
        <f t="shared" si="115"/>
        <v>0</v>
      </c>
      <c r="AP953" s="90">
        <f t="shared" si="115"/>
        <v>0</v>
      </c>
      <c r="AQ953" s="90">
        <f t="shared" si="115"/>
        <v>0.05</v>
      </c>
      <c r="AR953" s="90">
        <f t="shared" si="115"/>
        <v>0.03</v>
      </c>
      <c r="AS953" s="90">
        <f t="shared" si="115"/>
        <v>0</v>
      </c>
      <c r="AT953" s="90">
        <f t="shared" si="115"/>
        <v>0</v>
      </c>
      <c r="AU953" s="90">
        <f t="shared" si="115"/>
        <v>0</v>
      </c>
      <c r="AV953" s="90">
        <f t="shared" si="115"/>
        <v>0.38</v>
      </c>
      <c r="AW953" s="90">
        <f t="shared" si="115"/>
        <v>0</v>
      </c>
      <c r="AX953" s="90">
        <f t="shared" si="115"/>
        <v>0</v>
      </c>
      <c r="AY953" s="90">
        <f t="shared" si="115"/>
        <v>0</v>
      </c>
      <c r="AZ953" s="90">
        <f t="shared" si="115"/>
        <v>0</v>
      </c>
      <c r="BA953" s="90">
        <f t="shared" si="115"/>
        <v>0</v>
      </c>
      <c r="BB953" s="90">
        <f t="shared" si="115"/>
        <v>0</v>
      </c>
      <c r="BC953" s="90">
        <f t="shared" si="115"/>
        <v>0</v>
      </c>
      <c r="BD953" s="90">
        <f t="shared" si="115"/>
        <v>0.15</v>
      </c>
      <c r="BE953" s="90">
        <f t="shared" si="115"/>
        <v>1.4000000000000001</v>
      </c>
      <c r="BF953" s="90">
        <f t="shared" si="115"/>
        <v>0</v>
      </c>
      <c r="BG953" s="90">
        <f t="shared" si="115"/>
        <v>0</v>
      </c>
      <c r="BH953" s="90">
        <f t="shared" si="115"/>
        <v>0</v>
      </c>
      <c r="BI953" s="90"/>
      <c r="BJ953" s="78">
        <f t="shared" si="112"/>
        <v>0</v>
      </c>
      <c r="BK953" s="84"/>
      <c r="BL953" s="44">
        <v>46</v>
      </c>
      <c r="BM953" s="79">
        <f t="shared" si="111"/>
        <v>0</v>
      </c>
      <c r="BN953" s="75"/>
      <c r="BO953" s="75"/>
    </row>
    <row r="954" spans="1:67" s="4" customFormat="1" ht="31.2" x14ac:dyDescent="0.3">
      <c r="A954" s="48">
        <v>1</v>
      </c>
      <c r="B954" s="42" t="s">
        <v>448</v>
      </c>
      <c r="C954" s="48" t="s">
        <v>51</v>
      </c>
      <c r="D954" s="39">
        <v>0.53</v>
      </c>
      <c r="E954" s="39"/>
      <c r="F954" s="39">
        <f>D954</f>
        <v>0.53</v>
      </c>
      <c r="G954" s="39"/>
      <c r="H954" s="41"/>
      <c r="I954" s="39"/>
      <c r="J954" s="107">
        <f>F954-G954</f>
        <v>0.53</v>
      </c>
      <c r="K954" s="42" t="s">
        <v>945</v>
      </c>
      <c r="L954" s="42" t="s">
        <v>81</v>
      </c>
      <c r="M954" s="48">
        <v>50</v>
      </c>
      <c r="N954" s="206">
        <v>782</v>
      </c>
      <c r="O954" s="48"/>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L954" s="84"/>
      <c r="AM954" s="84"/>
      <c r="AN954" s="84"/>
      <c r="AO954" s="84"/>
      <c r="AP954" s="84"/>
      <c r="AQ954" s="84"/>
      <c r="AR954" s="84"/>
      <c r="AS954" s="84"/>
      <c r="AT954" s="84"/>
      <c r="AU954" s="84"/>
      <c r="AV954" s="84"/>
      <c r="AW954" s="84"/>
      <c r="AX954" s="84"/>
      <c r="AY954" s="84"/>
      <c r="AZ954" s="84"/>
      <c r="BA954" s="84"/>
      <c r="BB954" s="84"/>
      <c r="BC954" s="84"/>
      <c r="BD954" s="84"/>
      <c r="BE954" s="84">
        <v>0.53</v>
      </c>
      <c r="BF954" s="84"/>
      <c r="BG954" s="84"/>
      <c r="BH954" s="84"/>
      <c r="BI954" s="84"/>
      <c r="BJ954" s="78">
        <f t="shared" si="112"/>
        <v>0</v>
      </c>
      <c r="BK954" s="84"/>
      <c r="BL954" s="44">
        <v>46</v>
      </c>
      <c r="BM954" s="79">
        <f t="shared" si="111"/>
        <v>0</v>
      </c>
      <c r="BN954" s="75"/>
      <c r="BO954" s="75"/>
    </row>
    <row r="955" spans="1:67" s="4" customFormat="1" x14ac:dyDescent="0.3">
      <c r="A955" s="48">
        <v>2</v>
      </c>
      <c r="B955" s="42" t="s">
        <v>448</v>
      </c>
      <c r="C955" s="48" t="s">
        <v>51</v>
      </c>
      <c r="D955" s="39">
        <v>3</v>
      </c>
      <c r="E955" s="39"/>
      <c r="F955" s="39">
        <f>D955</f>
        <v>3</v>
      </c>
      <c r="G955" s="39"/>
      <c r="H955" s="41"/>
      <c r="I955" s="39"/>
      <c r="J955" s="107">
        <f>F955-G955</f>
        <v>3</v>
      </c>
      <c r="K955" s="42" t="s">
        <v>946</v>
      </c>
      <c r="L955" s="42" t="s">
        <v>81</v>
      </c>
      <c r="M955" s="48">
        <v>51</v>
      </c>
      <c r="N955" s="206">
        <v>783</v>
      </c>
      <c r="O955" s="48"/>
      <c r="P955" s="84"/>
      <c r="Q955" s="84"/>
      <c r="R955" s="84"/>
      <c r="S955" s="84"/>
      <c r="T955" s="84"/>
      <c r="U955" s="84"/>
      <c r="V955" s="84"/>
      <c r="W955" s="84"/>
      <c r="X955" s="84"/>
      <c r="Y955" s="84"/>
      <c r="Z955" s="84">
        <v>2.6</v>
      </c>
      <c r="AA955" s="84"/>
      <c r="AB955" s="84"/>
      <c r="AC955" s="84"/>
      <c r="AD955" s="84"/>
      <c r="AE955" s="84"/>
      <c r="AF955" s="84"/>
      <c r="AG955" s="84"/>
      <c r="AH955" s="84"/>
      <c r="AI955" s="84"/>
      <c r="AJ955" s="84"/>
      <c r="AK955" s="84"/>
      <c r="AL955" s="84"/>
      <c r="AM955" s="84"/>
      <c r="AN955" s="84"/>
      <c r="AO955" s="84"/>
      <c r="AP955" s="84"/>
      <c r="AQ955" s="84"/>
      <c r="AR955" s="84"/>
      <c r="AS955" s="84"/>
      <c r="AT955" s="84"/>
      <c r="AU955" s="84"/>
      <c r="AV955" s="84"/>
      <c r="AW955" s="84"/>
      <c r="AX955" s="84"/>
      <c r="AY955" s="84"/>
      <c r="AZ955" s="84"/>
      <c r="BA955" s="84"/>
      <c r="BB955" s="84"/>
      <c r="BC955" s="84"/>
      <c r="BD955" s="84"/>
      <c r="BE955" s="84">
        <v>0.4</v>
      </c>
      <c r="BF955" s="84"/>
      <c r="BG955" s="84"/>
      <c r="BH955" s="84"/>
      <c r="BI955" s="84"/>
      <c r="BJ955" s="78">
        <f t="shared" si="112"/>
        <v>0</v>
      </c>
      <c r="BK955" s="84"/>
      <c r="BL955" s="44">
        <v>46</v>
      </c>
      <c r="BM955" s="79">
        <f t="shared" si="111"/>
        <v>0</v>
      </c>
      <c r="BN955" s="75"/>
      <c r="BO955" s="75"/>
    </row>
    <row r="956" spans="1:67" s="4" customFormat="1" x14ac:dyDescent="0.3">
      <c r="A956" s="48">
        <v>3</v>
      </c>
      <c r="B956" s="42" t="s">
        <v>536</v>
      </c>
      <c r="C956" s="136" t="s">
        <v>51</v>
      </c>
      <c r="D956" s="39">
        <v>0.19</v>
      </c>
      <c r="E956" s="39"/>
      <c r="F956" s="39">
        <v>0.19</v>
      </c>
      <c r="G956" s="41">
        <v>0.19</v>
      </c>
      <c r="H956" s="41"/>
      <c r="I956" s="39"/>
      <c r="J956" s="41"/>
      <c r="K956" s="42" t="s">
        <v>374</v>
      </c>
      <c r="L956" s="42" t="s">
        <v>91</v>
      </c>
      <c r="M956" s="44">
        <v>14</v>
      </c>
      <c r="N956" s="209">
        <v>784</v>
      </c>
      <c r="O956" s="44"/>
      <c r="P956" s="42"/>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956" s="84"/>
      <c r="AN956" s="84"/>
      <c r="AO956" s="84"/>
      <c r="AP956" s="84"/>
      <c r="AQ956" s="84"/>
      <c r="AR956" s="84"/>
      <c r="AS956" s="84"/>
      <c r="AT956" s="84"/>
      <c r="AU956" s="84"/>
      <c r="AV956" s="84"/>
      <c r="AW956" s="84"/>
      <c r="AX956" s="84"/>
      <c r="AY956" s="84"/>
      <c r="AZ956" s="84"/>
      <c r="BA956" s="84"/>
      <c r="BB956" s="84"/>
      <c r="BC956" s="84"/>
      <c r="BD956" s="84"/>
      <c r="BE956" s="84"/>
      <c r="BF956" s="84"/>
      <c r="BG956" s="84"/>
      <c r="BH956" s="84"/>
      <c r="BI956" s="84"/>
      <c r="BJ956" s="78">
        <f t="shared" si="112"/>
        <v>0</v>
      </c>
      <c r="BK956" s="84"/>
      <c r="BL956" s="44">
        <v>46</v>
      </c>
      <c r="BM956" s="79">
        <f t="shared" si="111"/>
        <v>0</v>
      </c>
      <c r="BN956" s="75"/>
      <c r="BO956" s="75"/>
    </row>
    <row r="957" spans="1:67" s="4" customFormat="1" ht="46.8" x14ac:dyDescent="0.3">
      <c r="A957" s="48">
        <v>4</v>
      </c>
      <c r="B957" s="42" t="s">
        <v>537</v>
      </c>
      <c r="C957" s="43" t="s">
        <v>51</v>
      </c>
      <c r="D957" s="41">
        <v>0.28999999999999998</v>
      </c>
      <c r="E957" s="41">
        <v>0.25</v>
      </c>
      <c r="F957" s="41">
        <v>0.04</v>
      </c>
      <c r="G957" s="41"/>
      <c r="H957" s="41"/>
      <c r="I957" s="41"/>
      <c r="J957" s="41">
        <v>0.04</v>
      </c>
      <c r="K957" s="42" t="s">
        <v>93</v>
      </c>
      <c r="L957" s="42" t="s">
        <v>93</v>
      </c>
      <c r="M957" s="43">
        <v>2</v>
      </c>
      <c r="N957" s="210">
        <v>785</v>
      </c>
      <c r="O957" s="43"/>
      <c r="P957" s="43"/>
      <c r="Q957" s="84"/>
      <c r="R957" s="84"/>
      <c r="S957" s="84"/>
      <c r="T957" s="84"/>
      <c r="U957" s="84"/>
      <c r="V957" s="84"/>
      <c r="W957" s="84"/>
      <c r="X957" s="84"/>
      <c r="Y957" s="84"/>
      <c r="Z957" s="84"/>
      <c r="AA957" s="84"/>
      <c r="AB957" s="84"/>
      <c r="AC957" s="84"/>
      <c r="AD957" s="84"/>
      <c r="AE957" s="84"/>
      <c r="AF957" s="84"/>
      <c r="AG957" s="84"/>
      <c r="AH957" s="84"/>
      <c r="AI957" s="84"/>
      <c r="AJ957" s="84"/>
      <c r="AK957" s="84"/>
      <c r="AL957" s="84"/>
      <c r="AM957" s="84"/>
      <c r="AN957" s="84"/>
      <c r="AO957" s="84"/>
      <c r="AP957" s="84"/>
      <c r="AQ957" s="84"/>
      <c r="AR957" s="84"/>
      <c r="AS957" s="84"/>
      <c r="AT957" s="84"/>
      <c r="AU957" s="84"/>
      <c r="AV957" s="84"/>
      <c r="AW957" s="84"/>
      <c r="AX957" s="84"/>
      <c r="AY957" s="84"/>
      <c r="AZ957" s="84"/>
      <c r="BA957" s="84"/>
      <c r="BB957" s="84"/>
      <c r="BC957" s="84"/>
      <c r="BD957" s="84"/>
      <c r="BE957" s="84">
        <v>0.04</v>
      </c>
      <c r="BF957" s="84"/>
      <c r="BG957" s="84"/>
      <c r="BH957" s="84"/>
      <c r="BI957" s="84"/>
      <c r="BJ957" s="78">
        <f t="shared" si="112"/>
        <v>0</v>
      </c>
      <c r="BK957" s="84"/>
      <c r="BL957" s="44">
        <v>46</v>
      </c>
      <c r="BM957" s="79">
        <f t="shared" si="111"/>
        <v>0</v>
      </c>
      <c r="BN957" s="75"/>
      <c r="BO957" s="75"/>
    </row>
    <row r="958" spans="1:67" s="4" customFormat="1" ht="46.8" x14ac:dyDescent="0.3">
      <c r="A958" s="48">
        <v>5</v>
      </c>
      <c r="B958" s="42" t="s">
        <v>94</v>
      </c>
      <c r="C958" s="43" t="s">
        <v>51</v>
      </c>
      <c r="D958" s="41">
        <v>0.16</v>
      </c>
      <c r="E958" s="41"/>
      <c r="F958" s="41">
        <v>0.16</v>
      </c>
      <c r="G958" s="41"/>
      <c r="H958" s="85"/>
      <c r="I958" s="39"/>
      <c r="J958" s="41">
        <v>0.16</v>
      </c>
      <c r="K958" s="42" t="s">
        <v>93</v>
      </c>
      <c r="L958" s="42" t="s">
        <v>93</v>
      </c>
      <c r="M958" s="43">
        <v>3</v>
      </c>
      <c r="N958" s="210">
        <v>786</v>
      </c>
      <c r="O958" s="43"/>
      <c r="P958" s="43"/>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958" s="84"/>
      <c r="AN958" s="84"/>
      <c r="AO958" s="84"/>
      <c r="AP958" s="84"/>
      <c r="AQ958" s="84"/>
      <c r="AR958" s="84"/>
      <c r="AS958" s="84"/>
      <c r="AT958" s="84"/>
      <c r="AU958" s="84"/>
      <c r="AV958" s="84"/>
      <c r="AW958" s="84"/>
      <c r="AX958" s="84"/>
      <c r="AY958" s="84"/>
      <c r="AZ958" s="84"/>
      <c r="BA958" s="84"/>
      <c r="BB958" s="84"/>
      <c r="BC958" s="84"/>
      <c r="BD958" s="84"/>
      <c r="BE958" s="84">
        <v>0.16</v>
      </c>
      <c r="BF958" s="84"/>
      <c r="BG958" s="84"/>
      <c r="BH958" s="84"/>
      <c r="BI958" s="84"/>
      <c r="BJ958" s="78">
        <f t="shared" si="112"/>
        <v>0</v>
      </c>
      <c r="BK958" s="84"/>
      <c r="BL958" s="44">
        <v>46</v>
      </c>
      <c r="BM958" s="79">
        <f t="shared" si="111"/>
        <v>0</v>
      </c>
      <c r="BN958" s="75"/>
      <c r="BO958" s="75"/>
    </row>
    <row r="959" spans="1:67" s="4" customFormat="1" ht="31.2" x14ac:dyDescent="0.3">
      <c r="A959" s="48">
        <v>6</v>
      </c>
      <c r="B959" s="42" t="s">
        <v>544</v>
      </c>
      <c r="C959" s="48" t="s">
        <v>51</v>
      </c>
      <c r="D959" s="39">
        <v>1.2</v>
      </c>
      <c r="E959" s="39">
        <f>0.13+0.07+0.26+0.14+0.2</f>
        <v>0.8</v>
      </c>
      <c r="F959" s="39">
        <f>D959-E959</f>
        <v>0.39999999999999991</v>
      </c>
      <c r="G959" s="39"/>
      <c r="H959" s="41"/>
      <c r="I959" s="39"/>
      <c r="J959" s="39">
        <v>0.4</v>
      </c>
      <c r="K959" s="42" t="s">
        <v>893</v>
      </c>
      <c r="L959" s="42" t="s">
        <v>93</v>
      </c>
      <c r="M959" s="48">
        <v>31</v>
      </c>
      <c r="N959" s="206">
        <v>787</v>
      </c>
      <c r="O959" s="48"/>
      <c r="P959" s="48"/>
      <c r="Q959" s="84"/>
      <c r="R959" s="84"/>
      <c r="S959" s="84"/>
      <c r="T959" s="84"/>
      <c r="U959" s="84"/>
      <c r="V959" s="84"/>
      <c r="W959" s="84"/>
      <c r="X959" s="84">
        <v>0.4</v>
      </c>
      <c r="Y959" s="84"/>
      <c r="Z959" s="84"/>
      <c r="AA959" s="84"/>
      <c r="AB959" s="84"/>
      <c r="AC959" s="84"/>
      <c r="AD959" s="84"/>
      <c r="AE959" s="84"/>
      <c r="AF959" s="84"/>
      <c r="AG959" s="84"/>
      <c r="AH959" s="84"/>
      <c r="AI959" s="84"/>
      <c r="AJ959" s="84"/>
      <c r="AK959" s="84"/>
      <c r="AL959" s="84"/>
      <c r="AM959" s="84"/>
      <c r="AN959" s="84"/>
      <c r="AO959" s="84"/>
      <c r="AP959" s="84"/>
      <c r="AQ959" s="84"/>
      <c r="AR959" s="84"/>
      <c r="AS959" s="84"/>
      <c r="AT959" s="84"/>
      <c r="AU959" s="84"/>
      <c r="AV959" s="84"/>
      <c r="AW959" s="84"/>
      <c r="AX959" s="84"/>
      <c r="AY959" s="84"/>
      <c r="AZ959" s="84"/>
      <c r="BA959" s="84"/>
      <c r="BB959" s="84"/>
      <c r="BC959" s="84"/>
      <c r="BD959" s="84"/>
      <c r="BE959" s="84"/>
      <c r="BF959" s="84"/>
      <c r="BG959" s="84"/>
      <c r="BH959" s="84"/>
      <c r="BI959" s="84"/>
      <c r="BJ959" s="78">
        <f t="shared" si="112"/>
        <v>0</v>
      </c>
      <c r="BK959" s="84"/>
      <c r="BL959" s="44">
        <v>46</v>
      </c>
      <c r="BM959" s="79">
        <f t="shared" si="111"/>
        <v>0</v>
      </c>
      <c r="BN959" s="75"/>
      <c r="BO959" s="75"/>
    </row>
    <row r="960" spans="1:67" s="4" customFormat="1" x14ac:dyDescent="0.3">
      <c r="A960" s="48">
        <v>7</v>
      </c>
      <c r="B960" s="50" t="s">
        <v>538</v>
      </c>
      <c r="C960" s="39" t="s">
        <v>51</v>
      </c>
      <c r="D960" s="39">
        <v>0.22</v>
      </c>
      <c r="E960" s="39">
        <v>0.14000000000000001</v>
      </c>
      <c r="F960" s="39">
        <v>0.08</v>
      </c>
      <c r="G960" s="39">
        <v>0.08</v>
      </c>
      <c r="H960" s="39"/>
      <c r="I960" s="39"/>
      <c r="J960" s="39">
        <v>0</v>
      </c>
      <c r="K960" s="50" t="s">
        <v>112</v>
      </c>
      <c r="L960" s="50" t="s">
        <v>102</v>
      </c>
      <c r="M960" s="110">
        <v>22</v>
      </c>
      <c r="N960" s="211">
        <v>788</v>
      </c>
      <c r="O960" s="110"/>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c r="BC960" s="39"/>
      <c r="BD960" s="39"/>
      <c r="BE960" s="39"/>
      <c r="BF960" s="39"/>
      <c r="BG960" s="39"/>
      <c r="BH960" s="39"/>
      <c r="BI960" s="39"/>
      <c r="BJ960" s="78">
        <f t="shared" si="112"/>
        <v>0</v>
      </c>
      <c r="BK960" s="39"/>
      <c r="BL960" s="44">
        <v>46</v>
      </c>
      <c r="BM960" s="79">
        <f t="shared" si="111"/>
        <v>0</v>
      </c>
      <c r="BN960" s="75"/>
      <c r="BO960" s="75"/>
    </row>
    <row r="961" spans="1:67" s="4" customFormat="1" x14ac:dyDescent="0.3">
      <c r="A961" s="48">
        <v>8</v>
      </c>
      <c r="B961" s="50" t="s">
        <v>539</v>
      </c>
      <c r="C961" s="39" t="s">
        <v>51</v>
      </c>
      <c r="D961" s="41">
        <v>0.19</v>
      </c>
      <c r="E961" s="41">
        <v>0.05</v>
      </c>
      <c r="F961" s="41">
        <v>0.14000000000000001</v>
      </c>
      <c r="G961" s="39"/>
      <c r="H961" s="39"/>
      <c r="I961" s="39"/>
      <c r="J961" s="39">
        <v>0.14000000000000001</v>
      </c>
      <c r="K961" s="50" t="s">
        <v>770</v>
      </c>
      <c r="L961" s="50" t="s">
        <v>102</v>
      </c>
      <c r="M961" s="110">
        <v>14</v>
      </c>
      <c r="N961" s="211">
        <v>789</v>
      </c>
      <c r="O961" s="110"/>
      <c r="P961" s="39"/>
      <c r="Q961" s="39"/>
      <c r="R961" s="39"/>
      <c r="S961" s="39"/>
      <c r="T961" s="39"/>
      <c r="U961" s="39"/>
      <c r="V961" s="39"/>
      <c r="W961" s="39"/>
      <c r="X961" s="39"/>
      <c r="Y961" s="39"/>
      <c r="Z961" s="39"/>
      <c r="AA961" s="39">
        <v>0.14000000000000001</v>
      </c>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c r="BC961" s="39"/>
      <c r="BD961" s="39"/>
      <c r="BE961" s="39"/>
      <c r="BF961" s="39"/>
      <c r="BG961" s="39"/>
      <c r="BH961" s="39"/>
      <c r="BI961" s="39"/>
      <c r="BJ961" s="78">
        <f t="shared" si="112"/>
        <v>0</v>
      </c>
      <c r="BK961" s="39"/>
      <c r="BL961" s="44">
        <v>46</v>
      </c>
      <c r="BM961" s="79">
        <f t="shared" si="111"/>
        <v>0</v>
      </c>
      <c r="BN961" s="75"/>
      <c r="BO961" s="75"/>
    </row>
    <row r="962" spans="1:67" s="4" customFormat="1" ht="31.2" x14ac:dyDescent="0.3">
      <c r="A962" s="48">
        <v>9</v>
      </c>
      <c r="B962" s="50" t="s">
        <v>540</v>
      </c>
      <c r="C962" s="39" t="s">
        <v>51</v>
      </c>
      <c r="D962" s="39">
        <v>0.37</v>
      </c>
      <c r="E962" s="39">
        <v>0.2</v>
      </c>
      <c r="F962" s="39">
        <v>0.17</v>
      </c>
      <c r="G962" s="39">
        <v>0.02</v>
      </c>
      <c r="H962" s="39"/>
      <c r="I962" s="39"/>
      <c r="J962" s="39">
        <v>0.15</v>
      </c>
      <c r="K962" s="50" t="s">
        <v>163</v>
      </c>
      <c r="L962" s="50" t="s">
        <v>154</v>
      </c>
      <c r="M962" s="99">
        <v>29</v>
      </c>
      <c r="N962" s="207">
        <v>790</v>
      </c>
      <c r="O962" s="9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c r="BC962" s="39"/>
      <c r="BD962" s="39">
        <v>0.15</v>
      </c>
      <c r="BE962" s="39"/>
      <c r="BF962" s="39"/>
      <c r="BG962" s="39"/>
      <c r="BH962" s="39"/>
      <c r="BI962" s="39"/>
      <c r="BJ962" s="78">
        <f t="shared" si="112"/>
        <v>0</v>
      </c>
      <c r="BK962" s="39"/>
      <c r="BL962" s="44">
        <v>46</v>
      </c>
      <c r="BM962" s="79">
        <f t="shared" si="111"/>
        <v>0</v>
      </c>
      <c r="BN962" s="75"/>
      <c r="BO962" s="75"/>
    </row>
    <row r="963" spans="1:67" s="4" customFormat="1" ht="31.2" x14ac:dyDescent="0.3">
      <c r="A963" s="48">
        <v>10</v>
      </c>
      <c r="B963" s="50" t="s">
        <v>545</v>
      </c>
      <c r="C963" s="39" t="s">
        <v>51</v>
      </c>
      <c r="D963" s="39">
        <v>0.34</v>
      </c>
      <c r="E963" s="39">
        <v>0.3</v>
      </c>
      <c r="F963" s="39">
        <v>0.04</v>
      </c>
      <c r="G963" s="39"/>
      <c r="H963" s="39"/>
      <c r="I963" s="39"/>
      <c r="J963" s="39">
        <v>0.04</v>
      </c>
      <c r="K963" s="101" t="s">
        <v>163</v>
      </c>
      <c r="L963" s="50" t="s">
        <v>154</v>
      </c>
      <c r="M963" s="99">
        <v>30</v>
      </c>
      <c r="N963" s="207">
        <v>791</v>
      </c>
      <c r="O963" s="99"/>
      <c r="P963" s="39"/>
      <c r="Q963" s="39"/>
      <c r="R963" s="39"/>
      <c r="S963" s="39"/>
      <c r="T963" s="39"/>
      <c r="U963" s="39"/>
      <c r="V963" s="39"/>
      <c r="W963" s="39"/>
      <c r="X963" s="39"/>
      <c r="Y963" s="39"/>
      <c r="Z963" s="39"/>
      <c r="AA963" s="39">
        <v>0.04</v>
      </c>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c r="BC963" s="39"/>
      <c r="BD963" s="39"/>
      <c r="BE963" s="39"/>
      <c r="BF963" s="39"/>
      <c r="BG963" s="39"/>
      <c r="BH963" s="39"/>
      <c r="BI963" s="39"/>
      <c r="BJ963" s="78">
        <f t="shared" si="112"/>
        <v>0</v>
      </c>
      <c r="BK963" s="39"/>
      <c r="BL963" s="44">
        <v>46</v>
      </c>
      <c r="BM963" s="79">
        <f t="shared" si="111"/>
        <v>0</v>
      </c>
      <c r="BN963" s="75"/>
      <c r="BO963" s="75"/>
    </row>
    <row r="964" spans="1:67" s="4" customFormat="1" x14ac:dyDescent="0.3">
      <c r="A964" s="48">
        <v>11</v>
      </c>
      <c r="B964" s="42" t="s">
        <v>542</v>
      </c>
      <c r="C964" s="43" t="s">
        <v>51</v>
      </c>
      <c r="D964" s="41">
        <v>2</v>
      </c>
      <c r="E964" s="41">
        <v>0.45</v>
      </c>
      <c r="F964" s="41">
        <v>1.55</v>
      </c>
      <c r="G964" s="39">
        <v>1.55</v>
      </c>
      <c r="H964" s="39"/>
      <c r="I964" s="39"/>
      <c r="J964" s="39"/>
      <c r="K964" s="42" t="s">
        <v>967</v>
      </c>
      <c r="L964" s="42" t="s">
        <v>233</v>
      </c>
      <c r="M964" s="49">
        <v>24</v>
      </c>
      <c r="N964" s="208">
        <v>792</v>
      </c>
      <c r="O964" s="49"/>
      <c r="P964" s="84"/>
      <c r="Q964" s="84"/>
      <c r="R964" s="84"/>
      <c r="S964" s="84"/>
      <c r="T964" s="84"/>
      <c r="U964" s="84"/>
      <c r="V964" s="84"/>
      <c r="W964" s="84"/>
      <c r="X964" s="84"/>
      <c r="Y964" s="84"/>
      <c r="Z964" s="84"/>
      <c r="AA964" s="84"/>
      <c r="AB964" s="84"/>
      <c r="AC964" s="84"/>
      <c r="AD964" s="84"/>
      <c r="AE964" s="84"/>
      <c r="AF964" s="84"/>
      <c r="AG964" s="84"/>
      <c r="AH964" s="84"/>
      <c r="AI964" s="84"/>
      <c r="AJ964" s="84"/>
      <c r="AK964" s="84"/>
      <c r="AL964" s="84"/>
      <c r="AM964" s="84"/>
      <c r="AN964" s="84"/>
      <c r="AO964" s="84"/>
      <c r="AP964" s="84"/>
      <c r="AQ964" s="84"/>
      <c r="AR964" s="84"/>
      <c r="AS964" s="84"/>
      <c r="AT964" s="84"/>
      <c r="AU964" s="84"/>
      <c r="AV964" s="84"/>
      <c r="AW964" s="84"/>
      <c r="AX964" s="84"/>
      <c r="AY964" s="84"/>
      <c r="AZ964" s="84"/>
      <c r="BA964" s="84"/>
      <c r="BB964" s="84"/>
      <c r="BC964" s="84"/>
      <c r="BD964" s="84"/>
      <c r="BE964" s="84"/>
      <c r="BF964" s="84"/>
      <c r="BG964" s="84"/>
      <c r="BH964" s="84"/>
      <c r="BI964" s="84"/>
      <c r="BJ964" s="78">
        <f t="shared" si="112"/>
        <v>0</v>
      </c>
      <c r="BK964" s="97"/>
      <c r="BL964" s="44">
        <v>46</v>
      </c>
      <c r="BM964" s="79">
        <f t="shared" si="111"/>
        <v>0</v>
      </c>
      <c r="BN964" s="75"/>
      <c r="BO964" s="75"/>
    </row>
    <row r="965" spans="1:67" s="4" customFormat="1" x14ac:dyDescent="0.3">
      <c r="A965" s="48">
        <v>12</v>
      </c>
      <c r="B965" s="42" t="s">
        <v>286</v>
      </c>
      <c r="C965" s="43" t="s">
        <v>51</v>
      </c>
      <c r="D965" s="41">
        <v>0.03</v>
      </c>
      <c r="E965" s="41"/>
      <c r="F965" s="41">
        <v>0.03</v>
      </c>
      <c r="G965" s="39"/>
      <c r="H965" s="39"/>
      <c r="I965" s="39"/>
      <c r="J965" s="39">
        <v>0.03</v>
      </c>
      <c r="K965" s="42" t="s">
        <v>285</v>
      </c>
      <c r="L965" s="42" t="s">
        <v>285</v>
      </c>
      <c r="M965" s="48">
        <v>16</v>
      </c>
      <c r="N965" s="206">
        <v>793</v>
      </c>
      <c r="O965" s="48"/>
      <c r="P965" s="84"/>
      <c r="Q965" s="84"/>
      <c r="R965" s="84"/>
      <c r="S965" s="84"/>
      <c r="T965" s="84"/>
      <c r="U965" s="84"/>
      <c r="V965" s="84"/>
      <c r="W965" s="84"/>
      <c r="X965" s="84"/>
      <c r="Y965" s="84"/>
      <c r="Z965" s="84"/>
      <c r="AA965" s="84"/>
      <c r="AB965" s="84"/>
      <c r="AC965" s="84"/>
      <c r="AD965" s="84"/>
      <c r="AE965" s="84"/>
      <c r="AF965" s="84"/>
      <c r="AG965" s="118"/>
      <c r="AH965" s="84"/>
      <c r="AI965" s="84"/>
      <c r="AJ965" s="84"/>
      <c r="AK965" s="84"/>
      <c r="AL965" s="84"/>
      <c r="AM965" s="84"/>
      <c r="AN965" s="84"/>
      <c r="AO965" s="84"/>
      <c r="AP965" s="84"/>
      <c r="AQ965" s="84"/>
      <c r="AR965" s="84">
        <v>0.03</v>
      </c>
      <c r="AS965" s="84"/>
      <c r="AT965" s="84"/>
      <c r="AU965" s="84"/>
      <c r="AV965" s="84"/>
      <c r="AW965" s="84"/>
      <c r="AX965" s="84"/>
      <c r="AY965" s="84"/>
      <c r="AZ965" s="84"/>
      <c r="BA965" s="84"/>
      <c r="BB965" s="84"/>
      <c r="BC965" s="84"/>
      <c r="BD965" s="84"/>
      <c r="BE965" s="84"/>
      <c r="BF965" s="84"/>
      <c r="BG965" s="84"/>
      <c r="BH965" s="84"/>
      <c r="BI965" s="84"/>
      <c r="BJ965" s="78">
        <f t="shared" si="112"/>
        <v>0</v>
      </c>
      <c r="BK965" s="84"/>
      <c r="BL965" s="44">
        <v>46</v>
      </c>
      <c r="BM965" s="79">
        <f t="shared" si="111"/>
        <v>0</v>
      </c>
      <c r="BN965" s="75"/>
      <c r="BO965" s="75"/>
    </row>
    <row r="966" spans="1:67" s="4" customFormat="1" x14ac:dyDescent="0.3">
      <c r="A966" s="48">
        <v>13</v>
      </c>
      <c r="B966" s="42" t="s">
        <v>543</v>
      </c>
      <c r="C966" s="48" t="s">
        <v>51</v>
      </c>
      <c r="D966" s="39">
        <v>0.38</v>
      </c>
      <c r="E966" s="39"/>
      <c r="F966" s="39">
        <v>0.38</v>
      </c>
      <c r="G966" s="39"/>
      <c r="H966" s="39"/>
      <c r="I966" s="39"/>
      <c r="J966" s="39">
        <f>SUM(Z966:BG966)</f>
        <v>0.38</v>
      </c>
      <c r="K966" s="42" t="s">
        <v>380</v>
      </c>
      <c r="L966" s="42" t="s">
        <v>377</v>
      </c>
      <c r="M966" s="43">
        <v>11</v>
      </c>
      <c r="N966" s="210">
        <v>794</v>
      </c>
      <c r="O966" s="43"/>
      <c r="P966" s="84"/>
      <c r="Q966" s="84"/>
      <c r="R966" s="84"/>
      <c r="S966" s="84"/>
      <c r="T966" s="84"/>
      <c r="U966" s="84"/>
      <c r="V966" s="84"/>
      <c r="W966" s="84"/>
      <c r="X966" s="84"/>
      <c r="Y966" s="84"/>
      <c r="Z966" s="84"/>
      <c r="AA966" s="84"/>
      <c r="AB966" s="84"/>
      <c r="AC966" s="84"/>
      <c r="AD966" s="84"/>
      <c r="AE966" s="84"/>
      <c r="AF966" s="84"/>
      <c r="AG966" s="84"/>
      <c r="AH966" s="84"/>
      <c r="AI966" s="84"/>
      <c r="AJ966" s="84"/>
      <c r="AK966" s="84"/>
      <c r="AL966" s="84"/>
      <c r="AM966" s="84"/>
      <c r="AN966" s="84"/>
      <c r="AO966" s="84"/>
      <c r="AP966" s="84"/>
      <c r="AQ966" s="84"/>
      <c r="AR966" s="84"/>
      <c r="AS966" s="84"/>
      <c r="AT966" s="84"/>
      <c r="AU966" s="84"/>
      <c r="AV966" s="84">
        <v>0.38</v>
      </c>
      <c r="AW966" s="84"/>
      <c r="AX966" s="84"/>
      <c r="AY966" s="84"/>
      <c r="AZ966" s="84"/>
      <c r="BA966" s="84"/>
      <c r="BB966" s="84"/>
      <c r="BC966" s="84"/>
      <c r="BD966" s="84"/>
      <c r="BE966" s="84"/>
      <c r="BF966" s="84"/>
      <c r="BG966" s="84"/>
      <c r="BH966" s="84"/>
      <c r="BI966" s="84"/>
      <c r="BJ966" s="78">
        <f t="shared" si="112"/>
        <v>0</v>
      </c>
      <c r="BK966" s="84"/>
      <c r="BL966" s="44">
        <v>46</v>
      </c>
      <c r="BM966" s="79">
        <f t="shared" si="111"/>
        <v>0</v>
      </c>
      <c r="BN966" s="75"/>
      <c r="BO966" s="75"/>
    </row>
    <row r="967" spans="1:67" s="4" customFormat="1" x14ac:dyDescent="0.3">
      <c r="A967" s="48">
        <v>14</v>
      </c>
      <c r="B967" s="42" t="s">
        <v>408</v>
      </c>
      <c r="C967" s="48" t="s">
        <v>51</v>
      </c>
      <c r="D967" s="39">
        <v>0.43</v>
      </c>
      <c r="E967" s="39"/>
      <c r="F967" s="39">
        <v>0.43</v>
      </c>
      <c r="G967" s="39"/>
      <c r="H967" s="39"/>
      <c r="I967" s="39"/>
      <c r="J967" s="39">
        <f>SUM(P967:BE967)</f>
        <v>0.43000000000000005</v>
      </c>
      <c r="K967" s="42" t="s">
        <v>409</v>
      </c>
      <c r="L967" s="42" t="s">
        <v>395</v>
      </c>
      <c r="M967" s="43">
        <v>23</v>
      </c>
      <c r="N967" s="210">
        <v>795</v>
      </c>
      <c r="O967" s="43"/>
      <c r="P967" s="119"/>
      <c r="Q967" s="119"/>
      <c r="R967" s="119"/>
      <c r="S967" s="119"/>
      <c r="T967" s="119"/>
      <c r="U967" s="119"/>
      <c r="V967" s="119"/>
      <c r="W967" s="119"/>
      <c r="X967" s="119"/>
      <c r="Y967" s="119"/>
      <c r="Z967" s="119"/>
      <c r="AA967" s="119">
        <v>0.16</v>
      </c>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19"/>
      <c r="AY967" s="119"/>
      <c r="AZ967" s="119"/>
      <c r="BA967" s="119"/>
      <c r="BB967" s="119"/>
      <c r="BC967" s="119"/>
      <c r="BD967" s="119"/>
      <c r="BE967" s="119">
        <f>0.43-0.16</f>
        <v>0.27</v>
      </c>
      <c r="BF967" s="119"/>
      <c r="BG967" s="119"/>
      <c r="BH967" s="119"/>
      <c r="BI967" s="119"/>
      <c r="BJ967" s="78">
        <f t="shared" si="112"/>
        <v>0</v>
      </c>
      <c r="BK967" s="84"/>
      <c r="BL967" s="44">
        <v>46</v>
      </c>
      <c r="BM967" s="79">
        <f t="shared" si="111"/>
        <v>0</v>
      </c>
      <c r="BN967" s="75"/>
      <c r="BO967" s="75"/>
    </row>
    <row r="968" spans="1:67" s="4" customFormat="1" x14ac:dyDescent="0.3">
      <c r="A968" s="48">
        <v>15</v>
      </c>
      <c r="B968" s="42" t="s">
        <v>448</v>
      </c>
      <c r="C968" s="48" t="s">
        <v>51</v>
      </c>
      <c r="D968" s="39">
        <f>0.07+0.16</f>
        <v>0.23</v>
      </c>
      <c r="E968" s="39"/>
      <c r="F968" s="39">
        <v>0.23</v>
      </c>
      <c r="G968" s="39">
        <v>0.23</v>
      </c>
      <c r="H968" s="39"/>
      <c r="I968" s="39"/>
      <c r="J968" s="39"/>
      <c r="K968" s="42" t="s">
        <v>441</v>
      </c>
      <c r="L968" s="42" t="s">
        <v>415</v>
      </c>
      <c r="M968" s="43">
        <v>55</v>
      </c>
      <c r="N968" s="210">
        <v>796</v>
      </c>
      <c r="O968" s="43"/>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968" s="84"/>
      <c r="AN968" s="84"/>
      <c r="AO968" s="84"/>
      <c r="AP968" s="84"/>
      <c r="AQ968" s="84"/>
      <c r="AR968" s="84"/>
      <c r="AS968" s="84"/>
      <c r="AT968" s="84"/>
      <c r="AU968" s="84"/>
      <c r="AV968" s="84"/>
      <c r="AW968" s="84"/>
      <c r="AX968" s="84"/>
      <c r="AY968" s="84"/>
      <c r="AZ968" s="84"/>
      <c r="BA968" s="84"/>
      <c r="BB968" s="84"/>
      <c r="BC968" s="84"/>
      <c r="BD968" s="84"/>
      <c r="BE968" s="84"/>
      <c r="BF968" s="84"/>
      <c r="BG968" s="84"/>
      <c r="BH968" s="84"/>
      <c r="BI968" s="84"/>
      <c r="BJ968" s="78">
        <f t="shared" si="112"/>
        <v>0</v>
      </c>
      <c r="BK968" s="84"/>
      <c r="BL968" s="44">
        <v>46</v>
      </c>
      <c r="BM968" s="79">
        <f t="shared" si="111"/>
        <v>0</v>
      </c>
      <c r="BN968" s="75"/>
      <c r="BO968" s="75"/>
    </row>
    <row r="969" spans="1:67" s="4" customFormat="1" x14ac:dyDescent="0.3">
      <c r="A969" s="48">
        <v>16</v>
      </c>
      <c r="B969" s="50" t="s">
        <v>814</v>
      </c>
      <c r="C969" s="39" t="s">
        <v>51</v>
      </c>
      <c r="D969" s="41">
        <v>0.3</v>
      </c>
      <c r="E969" s="41">
        <v>0.15</v>
      </c>
      <c r="F969" s="41">
        <v>0.15</v>
      </c>
      <c r="G969" s="41"/>
      <c r="H969" s="41"/>
      <c r="I969" s="39"/>
      <c r="J969" s="39">
        <v>0.15</v>
      </c>
      <c r="K969" s="101" t="s">
        <v>215</v>
      </c>
      <c r="L969" s="50" t="s">
        <v>208</v>
      </c>
      <c r="M969" s="43">
        <v>54</v>
      </c>
      <c r="N969" s="210">
        <v>797</v>
      </c>
      <c r="O969" s="43"/>
      <c r="P969" s="84"/>
      <c r="Q969" s="84"/>
      <c r="R969" s="84"/>
      <c r="S969" s="84"/>
      <c r="T969" s="84"/>
      <c r="U969" s="84"/>
      <c r="V969" s="84"/>
      <c r="W969" s="84"/>
      <c r="X969" s="84"/>
      <c r="Y969" s="84"/>
      <c r="Z969" s="84">
        <v>0.15</v>
      </c>
      <c r="AA969" s="84"/>
      <c r="AB969" s="84"/>
      <c r="AC969" s="84"/>
      <c r="AD969" s="84"/>
      <c r="AE969" s="84"/>
      <c r="AF969" s="84"/>
      <c r="AG969" s="84"/>
      <c r="AH969" s="84"/>
      <c r="AI969" s="84"/>
      <c r="AJ969" s="84"/>
      <c r="AK969" s="84"/>
      <c r="AL969" s="84"/>
      <c r="AM969" s="84"/>
      <c r="AN969" s="84"/>
      <c r="AO969" s="84"/>
      <c r="AP969" s="84"/>
      <c r="AQ969" s="84"/>
      <c r="AR969" s="84"/>
      <c r="AS969" s="84"/>
      <c r="AT969" s="84"/>
      <c r="AU969" s="84"/>
      <c r="AV969" s="84"/>
      <c r="AW969" s="84"/>
      <c r="AX969" s="84"/>
      <c r="AY969" s="84"/>
      <c r="AZ969" s="84"/>
      <c r="BA969" s="84"/>
      <c r="BB969" s="84"/>
      <c r="BC969" s="84"/>
      <c r="BD969" s="84"/>
      <c r="BE969" s="84"/>
      <c r="BF969" s="84"/>
      <c r="BG969" s="84"/>
      <c r="BH969" s="84"/>
      <c r="BI969" s="84"/>
      <c r="BJ969" s="78">
        <f t="shared" si="112"/>
        <v>0</v>
      </c>
      <c r="BK969" s="84"/>
      <c r="BL969" s="44"/>
      <c r="BM969" s="79">
        <f t="shared" si="111"/>
        <v>0</v>
      </c>
      <c r="BN969" s="75"/>
      <c r="BO969" s="75"/>
    </row>
    <row r="970" spans="1:67" s="4" customFormat="1" x14ac:dyDescent="0.3">
      <c r="A970" s="48">
        <v>17</v>
      </c>
      <c r="B970" s="42" t="s">
        <v>736</v>
      </c>
      <c r="C970" s="43" t="s">
        <v>51</v>
      </c>
      <c r="D970" s="41">
        <v>0.21</v>
      </c>
      <c r="E970" s="41">
        <v>0.16</v>
      </c>
      <c r="F970" s="41">
        <v>0.05</v>
      </c>
      <c r="G970" s="41"/>
      <c r="H970" s="41"/>
      <c r="I970" s="41"/>
      <c r="J970" s="41">
        <v>0.05</v>
      </c>
      <c r="K970" s="42" t="s">
        <v>857</v>
      </c>
      <c r="L970" s="42" t="s">
        <v>688</v>
      </c>
      <c r="M970" s="43">
        <v>20</v>
      </c>
      <c r="N970" s="210">
        <v>798</v>
      </c>
      <c r="O970" s="43"/>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c r="AN970" s="97"/>
      <c r="AO970" s="97"/>
      <c r="AP970" s="97"/>
      <c r="AQ970" s="97">
        <v>0.05</v>
      </c>
      <c r="AR970" s="97"/>
      <c r="AS970" s="97"/>
      <c r="AT970" s="97"/>
      <c r="AU970" s="97"/>
      <c r="AV970" s="97"/>
      <c r="AW970" s="97"/>
      <c r="AX970" s="97"/>
      <c r="AY970" s="97"/>
      <c r="AZ970" s="97"/>
      <c r="BA970" s="97"/>
      <c r="BB970" s="97"/>
      <c r="BC970" s="97"/>
      <c r="BD970" s="97"/>
      <c r="BE970" s="100"/>
      <c r="BF970" s="97"/>
      <c r="BG970" s="97"/>
      <c r="BH970" s="97"/>
      <c r="BI970" s="97"/>
      <c r="BJ970" s="78">
        <f t="shared" si="112"/>
        <v>0</v>
      </c>
      <c r="BK970" s="97"/>
      <c r="BL970" s="97">
        <v>46</v>
      </c>
      <c r="BM970" s="79">
        <f t="shared" si="111"/>
        <v>0</v>
      </c>
      <c r="BN970" s="75"/>
      <c r="BO970" s="75"/>
    </row>
    <row r="971" spans="1:67" s="9" customFormat="1" x14ac:dyDescent="0.3">
      <c r="A971" s="80" t="s">
        <v>757</v>
      </c>
      <c r="B971" s="90" t="s">
        <v>756</v>
      </c>
      <c r="C971" s="89"/>
      <c r="D971" s="81">
        <f t="shared" ref="D971:J971" si="116">D5+D14+D18+D25+D62+D64+D112+D125+D152+D157+D161+D225+D240+D266+D661+D680+D694+D934+D947+D953</f>
        <v>8338.991</v>
      </c>
      <c r="E971" s="81">
        <f t="shared" si="116"/>
        <v>424.49</v>
      </c>
      <c r="F971" s="81">
        <f t="shared" si="116"/>
        <v>7914.4999999999991</v>
      </c>
      <c r="G971" s="81">
        <f t="shared" si="116"/>
        <v>3200.0200000000009</v>
      </c>
      <c r="H971" s="81">
        <f t="shared" si="116"/>
        <v>559.22</v>
      </c>
      <c r="I971" s="81">
        <f t="shared" si="116"/>
        <v>0</v>
      </c>
      <c r="J971" s="81">
        <f t="shared" si="116"/>
        <v>4146.76</v>
      </c>
      <c r="K971" s="116"/>
      <c r="L971" s="116"/>
      <c r="M971" s="116"/>
      <c r="N971" s="116"/>
      <c r="O971" s="116"/>
      <c r="P971" s="116">
        <f t="shared" ref="P971:BI971" si="117">P5+P14+P18+P25+P62+P64+P112+P125+P152+P157+P161+P225+P240+P266+P661+P680+P694+P934+P947+P953</f>
        <v>151.47</v>
      </c>
      <c r="Q971" s="116">
        <f t="shared" si="117"/>
        <v>373.85</v>
      </c>
      <c r="R971" s="116">
        <f t="shared" si="117"/>
        <v>11.45</v>
      </c>
      <c r="S971" s="116">
        <f t="shared" si="117"/>
        <v>0</v>
      </c>
      <c r="T971" s="116">
        <f t="shared" si="117"/>
        <v>0</v>
      </c>
      <c r="U971" s="116">
        <f t="shared" si="117"/>
        <v>0</v>
      </c>
      <c r="V971" s="116">
        <f t="shared" si="117"/>
        <v>0.14000000000000001</v>
      </c>
      <c r="W971" s="116">
        <f t="shared" si="117"/>
        <v>39.44</v>
      </c>
      <c r="X971" s="116">
        <f t="shared" si="117"/>
        <v>973.22000000000014</v>
      </c>
      <c r="Y971" s="116">
        <f t="shared" si="117"/>
        <v>19.52</v>
      </c>
      <c r="Z971" s="116">
        <f t="shared" si="117"/>
        <v>573.91000000000008</v>
      </c>
      <c r="AA971" s="116">
        <f t="shared" si="117"/>
        <v>235.85</v>
      </c>
      <c r="AB971" s="116">
        <f t="shared" si="117"/>
        <v>445.89</v>
      </c>
      <c r="AC971" s="116">
        <f t="shared" si="117"/>
        <v>24.5</v>
      </c>
      <c r="AD971" s="116">
        <f t="shared" si="117"/>
        <v>103.64</v>
      </c>
      <c r="AE971" s="116">
        <f t="shared" si="117"/>
        <v>163.82999999999998</v>
      </c>
      <c r="AF971" s="116">
        <f t="shared" si="117"/>
        <v>9.14</v>
      </c>
      <c r="AG971" s="116">
        <f t="shared" si="117"/>
        <v>3.65</v>
      </c>
      <c r="AH971" s="116">
        <f t="shared" si="117"/>
        <v>0.06</v>
      </c>
      <c r="AI971" s="116">
        <f t="shared" si="117"/>
        <v>0</v>
      </c>
      <c r="AJ971" s="116">
        <f t="shared" si="117"/>
        <v>0</v>
      </c>
      <c r="AK971" s="116">
        <f t="shared" si="117"/>
        <v>0.1</v>
      </c>
      <c r="AL971" s="116">
        <f t="shared" si="117"/>
        <v>0</v>
      </c>
      <c r="AM971" s="116">
        <f t="shared" si="117"/>
        <v>1.1499999999999999</v>
      </c>
      <c r="AN971" s="116">
        <f t="shared" si="117"/>
        <v>1.27</v>
      </c>
      <c r="AO971" s="116">
        <f t="shared" si="117"/>
        <v>14.209999999999999</v>
      </c>
      <c r="AP971" s="116">
        <f t="shared" si="117"/>
        <v>0</v>
      </c>
      <c r="AQ971" s="116">
        <f t="shared" si="117"/>
        <v>152.13</v>
      </c>
      <c r="AR971" s="116">
        <f t="shared" si="117"/>
        <v>110.18</v>
      </c>
      <c r="AS971" s="116">
        <f t="shared" si="117"/>
        <v>0</v>
      </c>
      <c r="AT971" s="116">
        <f t="shared" si="117"/>
        <v>0.17</v>
      </c>
      <c r="AU971" s="116">
        <f t="shared" si="117"/>
        <v>0</v>
      </c>
      <c r="AV971" s="116">
        <f t="shared" si="117"/>
        <v>0.53</v>
      </c>
      <c r="AW971" s="116">
        <f t="shared" si="117"/>
        <v>3.4800000000000009</v>
      </c>
      <c r="AX971" s="116">
        <f t="shared" si="117"/>
        <v>0</v>
      </c>
      <c r="AY971" s="116">
        <f t="shared" si="117"/>
        <v>0</v>
      </c>
      <c r="AZ971" s="116">
        <f t="shared" si="117"/>
        <v>1.07</v>
      </c>
      <c r="BA971" s="116">
        <f t="shared" si="117"/>
        <v>1.67</v>
      </c>
      <c r="BB971" s="116">
        <f t="shared" si="117"/>
        <v>31.56</v>
      </c>
      <c r="BC971" s="116">
        <f t="shared" si="117"/>
        <v>209.86999999999998</v>
      </c>
      <c r="BD971" s="116">
        <f t="shared" si="117"/>
        <v>207.24999999999997</v>
      </c>
      <c r="BE971" s="116">
        <f t="shared" si="117"/>
        <v>809.99999999999989</v>
      </c>
      <c r="BF971" s="116">
        <f t="shared" si="117"/>
        <v>1.1299999999999999</v>
      </c>
      <c r="BG971" s="116">
        <f t="shared" si="117"/>
        <v>8.9</v>
      </c>
      <c r="BH971" s="116">
        <f t="shared" si="117"/>
        <v>4.7</v>
      </c>
      <c r="BI971" s="116">
        <f t="shared" si="117"/>
        <v>1.65</v>
      </c>
      <c r="BJ971" s="89"/>
      <c r="BK971" s="89"/>
      <c r="BL971" s="44"/>
      <c r="BM971" s="79">
        <f>J971-SUM(V971:BI971)</f>
        <v>-7.0499999999992724</v>
      </c>
      <c r="BN971" s="75"/>
      <c r="BO971" s="75"/>
    </row>
    <row r="973" spans="1:67" x14ac:dyDescent="0.3">
      <c r="F973" s="17"/>
      <c r="G973" s="11"/>
      <c r="BD973">
        <v>129</v>
      </c>
    </row>
  </sheetData>
  <autoFilter ref="A4:BR971"/>
  <sortState ref="A4:BM812">
    <sortCondition ref="BL4:BL812"/>
  </sortState>
  <mergeCells count="43">
    <mergeCell ref="A456:A458"/>
    <mergeCell ref="A471:A473"/>
    <mergeCell ref="A479:A485"/>
    <mergeCell ref="A382:A384"/>
    <mergeCell ref="A402:A406"/>
    <mergeCell ref="A413:A415"/>
    <mergeCell ref="A440:A443"/>
    <mergeCell ref="A444:A447"/>
    <mergeCell ref="A301:A303"/>
    <mergeCell ref="A308:A311"/>
    <mergeCell ref="A316:A320"/>
    <mergeCell ref="A379:A381"/>
    <mergeCell ref="A448:A454"/>
    <mergeCell ref="A1:M1"/>
    <mergeCell ref="A2:M2"/>
    <mergeCell ref="A275:A282"/>
    <mergeCell ref="A695:A716"/>
    <mergeCell ref="A875:A877"/>
    <mergeCell ref="A579:A600"/>
    <mergeCell ref="A179:A181"/>
    <mergeCell ref="A153:A156"/>
    <mergeCell ref="A173:A175"/>
    <mergeCell ref="A176:A178"/>
    <mergeCell ref="A550:A571"/>
    <mergeCell ref="A283:A290"/>
    <mergeCell ref="A268:A270"/>
    <mergeCell ref="A271:A273"/>
    <mergeCell ref="A291:A295"/>
    <mergeCell ref="A296:A299"/>
    <mergeCell ref="BM3:BM4"/>
    <mergeCell ref="A3:A4"/>
    <mergeCell ref="BL3:BL4"/>
    <mergeCell ref="L3:L4"/>
    <mergeCell ref="BJ3:BJ4"/>
    <mergeCell ref="BK3:BK4"/>
    <mergeCell ref="M3:M4"/>
    <mergeCell ref="B3:B4"/>
    <mergeCell ref="C3:C4"/>
    <mergeCell ref="D3:F3"/>
    <mergeCell ref="G3:J3"/>
    <mergeCell ref="K3:K4"/>
    <mergeCell ref="O3:O4"/>
    <mergeCell ref="N3:N4"/>
  </mergeCells>
  <pageMargins left="0.5" right="0.3" top="0.4" bottom="0.4"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36"/>
  <sheetViews>
    <sheetView showZeros="0" tabSelected="1" zoomScale="85" zoomScaleNormal="85" workbookViewId="0">
      <pane xSplit="1" ySplit="3" topLeftCell="B16" activePane="bottomRight" state="frozen"/>
      <selection pane="topRight" activeCell="B1" sqref="B1"/>
      <selection pane="bottomLeft" activeCell="A4" sqref="A4"/>
      <selection pane="bottomRight" activeCell="F18" sqref="F18:F29"/>
    </sheetView>
  </sheetViews>
  <sheetFormatPr defaultColWidth="9.109375" defaultRowHeight="18" x14ac:dyDescent="0.35"/>
  <cols>
    <col min="1" max="1" width="9.109375" style="23"/>
    <col min="2" max="2" width="56.33203125" style="23" customWidth="1"/>
    <col min="3" max="3" width="9.109375" style="23"/>
    <col min="4" max="5" width="11.6640625" style="23" hidden="1" customWidth="1"/>
    <col min="6" max="6" width="11.6640625" style="35" customWidth="1"/>
    <col min="7" max="10" width="11.6640625" style="23" customWidth="1"/>
    <col min="11" max="16384" width="9.109375" style="23"/>
  </cols>
  <sheetData>
    <row r="2" spans="1:63" x14ac:dyDescent="0.35">
      <c r="A2" s="222" t="s">
        <v>449</v>
      </c>
      <c r="B2" s="222" t="s">
        <v>0</v>
      </c>
      <c r="C2" s="222" t="s">
        <v>1</v>
      </c>
      <c r="D2" s="222" t="s">
        <v>2</v>
      </c>
      <c r="E2" s="222"/>
      <c r="F2" s="222"/>
      <c r="G2" s="222" t="s">
        <v>3</v>
      </c>
      <c r="H2" s="222"/>
      <c r="I2" s="222"/>
      <c r="J2" s="222"/>
      <c r="K2" s="222" t="s">
        <v>4</v>
      </c>
      <c r="L2" s="222" t="s">
        <v>5</v>
      </c>
      <c r="M2" s="222" t="s">
        <v>747</v>
      </c>
      <c r="N2" s="222" t="s">
        <v>759</v>
      </c>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3" t="s">
        <v>6</v>
      </c>
      <c r="BI2" s="222" t="s">
        <v>7</v>
      </c>
      <c r="BJ2" s="222" t="s">
        <v>454</v>
      </c>
      <c r="BK2" s="222" t="s">
        <v>759</v>
      </c>
    </row>
    <row r="3" spans="1:63" ht="52.2" x14ac:dyDescent="0.35">
      <c r="A3" s="222"/>
      <c r="B3" s="222"/>
      <c r="C3" s="222"/>
      <c r="D3" s="24" t="s">
        <v>8</v>
      </c>
      <c r="E3" s="24" t="s">
        <v>9</v>
      </c>
      <c r="F3" s="32" t="s">
        <v>10</v>
      </c>
      <c r="G3" s="25" t="s">
        <v>11</v>
      </c>
      <c r="H3" s="25" t="s">
        <v>14</v>
      </c>
      <c r="I3" s="26" t="s">
        <v>12</v>
      </c>
      <c r="J3" s="25" t="s">
        <v>13</v>
      </c>
      <c r="K3" s="222"/>
      <c r="L3" s="222"/>
      <c r="M3" s="222"/>
      <c r="N3" s="222"/>
      <c r="O3" s="25" t="s">
        <v>1074</v>
      </c>
      <c r="P3" s="25" t="s">
        <v>15</v>
      </c>
      <c r="Q3" s="25" t="s">
        <v>16</v>
      </c>
      <c r="R3" s="26" t="s">
        <v>17</v>
      </c>
      <c r="S3" s="26" t="s">
        <v>18</v>
      </c>
      <c r="T3" s="26" t="s">
        <v>19</v>
      </c>
      <c r="U3" s="26" t="s">
        <v>20</v>
      </c>
      <c r="V3" s="26" t="s">
        <v>21</v>
      </c>
      <c r="W3" s="26" t="s">
        <v>22</v>
      </c>
      <c r="X3" s="26" t="s">
        <v>23</v>
      </c>
      <c r="Y3" s="26" t="s">
        <v>24</v>
      </c>
      <c r="Z3" s="26" t="s">
        <v>25</v>
      </c>
      <c r="AA3" s="26" t="s">
        <v>26</v>
      </c>
      <c r="AB3" s="26" t="s">
        <v>27</v>
      </c>
      <c r="AC3" s="26" t="s">
        <v>28</v>
      </c>
      <c r="AD3" s="26" t="s">
        <v>29</v>
      </c>
      <c r="AE3" s="26" t="s">
        <v>30</v>
      </c>
      <c r="AF3" s="26" t="s">
        <v>31</v>
      </c>
      <c r="AG3" s="26" t="s">
        <v>32</v>
      </c>
      <c r="AH3" s="26" t="s">
        <v>33</v>
      </c>
      <c r="AI3" s="26" t="s">
        <v>34</v>
      </c>
      <c r="AJ3" s="26" t="s">
        <v>35</v>
      </c>
      <c r="AK3" s="26" t="s">
        <v>36</v>
      </c>
      <c r="AL3" s="26" t="s">
        <v>37</v>
      </c>
      <c r="AM3" s="26" t="s">
        <v>38</v>
      </c>
      <c r="AN3" s="26" t="s">
        <v>39</v>
      </c>
      <c r="AO3" s="26" t="s">
        <v>40</v>
      </c>
      <c r="AP3" s="26" t="s">
        <v>41</v>
      </c>
      <c r="AQ3" s="26" t="s">
        <v>42</v>
      </c>
      <c r="AR3" s="26" t="s">
        <v>43</v>
      </c>
      <c r="AS3" s="26" t="s">
        <v>44</v>
      </c>
      <c r="AT3" s="26" t="s">
        <v>45</v>
      </c>
      <c r="AU3" s="26" t="s">
        <v>46</v>
      </c>
      <c r="AV3" s="26" t="s">
        <v>47</v>
      </c>
      <c r="AW3" s="26" t="s">
        <v>48</v>
      </c>
      <c r="AX3" s="26" t="s">
        <v>49</v>
      </c>
      <c r="AY3" s="26" t="s">
        <v>50</v>
      </c>
      <c r="AZ3" s="26" t="s">
        <v>51</v>
      </c>
      <c r="BA3" s="26" t="s">
        <v>52</v>
      </c>
      <c r="BB3" s="26" t="s">
        <v>53</v>
      </c>
      <c r="BC3" s="26" t="s">
        <v>54</v>
      </c>
      <c r="BD3" s="26" t="s">
        <v>55</v>
      </c>
      <c r="BE3" s="26" t="s">
        <v>56</v>
      </c>
      <c r="BF3" s="26" t="s">
        <v>57</v>
      </c>
      <c r="BG3" s="26" t="s">
        <v>63</v>
      </c>
      <c r="BH3" s="223"/>
      <c r="BI3" s="222"/>
      <c r="BJ3" s="222"/>
      <c r="BK3" s="222"/>
    </row>
    <row r="4" spans="1:63" x14ac:dyDescent="0.35">
      <c r="A4" s="27" t="str">
        <f>'DANH MUC HUYEN'!A5</f>
        <v>I</v>
      </c>
      <c r="B4" s="27" t="str">
        <f>'DANH MUC HUYEN'!B5</f>
        <v>Đất trồng cây hàng năm khác</v>
      </c>
      <c r="C4" s="27" t="str">
        <f>'DANH MUC HUYEN'!C5</f>
        <v>HNK</v>
      </c>
      <c r="D4" s="27">
        <f>'DANH MUC HUYEN'!D5</f>
        <v>144.52000000000001</v>
      </c>
      <c r="E4" s="27">
        <f>'DANH MUC HUYEN'!E5</f>
        <v>0</v>
      </c>
      <c r="F4" s="33">
        <f>'DANH MUC HUYEN'!F5</f>
        <v>144.52000000000001</v>
      </c>
      <c r="G4" s="27">
        <f>'DANH MUC HUYEN'!G5</f>
        <v>23.02</v>
      </c>
      <c r="H4" s="27">
        <f>'DANH MUC HUYEN'!H5</f>
        <v>1.18</v>
      </c>
      <c r="I4" s="27">
        <f>'DANH MUC HUYEN'!I5</f>
        <v>0</v>
      </c>
      <c r="J4" s="27">
        <f>'DANH MUC HUYEN'!J5</f>
        <v>120.32000000000001</v>
      </c>
      <c r="K4" s="27">
        <f>'DANH MUC HUYEN'!K5</f>
        <v>0</v>
      </c>
      <c r="L4" s="27">
        <f>'DANH MUC HUYEN'!L5</f>
        <v>0</v>
      </c>
      <c r="M4" s="27"/>
      <c r="N4" s="27"/>
      <c r="O4" s="28">
        <f>'DANH MUC HUYEN'!P5</f>
        <v>1.18</v>
      </c>
      <c r="P4" s="28">
        <f>'DANH MUC HUYEN'!Q5</f>
        <v>0</v>
      </c>
      <c r="Q4" s="27">
        <f>'DANH MUC HUYEN'!R5</f>
        <v>0</v>
      </c>
      <c r="R4" s="27">
        <f>'DANH MUC HUYEN'!S5</f>
        <v>0</v>
      </c>
      <c r="S4" s="27">
        <f>'DANH MUC HUYEN'!T5</f>
        <v>0</v>
      </c>
      <c r="T4" s="27">
        <f>'DANH MUC HUYEN'!U5</f>
        <v>0</v>
      </c>
      <c r="U4" s="27">
        <f>'DANH MUC HUYEN'!V5</f>
        <v>0</v>
      </c>
      <c r="V4" s="27">
        <f>'DANH MUC HUYEN'!W5</f>
        <v>0</v>
      </c>
      <c r="W4" s="27">
        <f>'DANH MUC HUYEN'!X5</f>
        <v>49.05</v>
      </c>
      <c r="X4" s="27">
        <f>'DANH MUC HUYEN'!Y5</f>
        <v>0</v>
      </c>
      <c r="Y4" s="27">
        <f>'DANH MUC HUYEN'!Z5</f>
        <v>58.85</v>
      </c>
      <c r="Z4" s="27">
        <f>'DANH MUC HUYEN'!AA5</f>
        <v>0</v>
      </c>
      <c r="AA4" s="27">
        <f>'DANH MUC HUYEN'!AB5</f>
        <v>2.2499999999999987</v>
      </c>
      <c r="AB4" s="27">
        <f>'DANH MUC HUYEN'!AC5</f>
        <v>0</v>
      </c>
      <c r="AC4" s="27">
        <f>'DANH MUC HUYEN'!AD5</f>
        <v>0</v>
      </c>
      <c r="AD4" s="27">
        <f>'DANH MUC HUYEN'!AE5</f>
        <v>0</v>
      </c>
      <c r="AE4" s="27">
        <f>'DANH MUC HUYEN'!AF5</f>
        <v>0</v>
      </c>
      <c r="AF4" s="27">
        <f>'DANH MUC HUYEN'!AG5</f>
        <v>0</v>
      </c>
      <c r="AG4" s="27">
        <f>'DANH MUC HUYEN'!AH5</f>
        <v>0</v>
      </c>
      <c r="AH4" s="27">
        <f>'DANH MUC HUYEN'!AI5</f>
        <v>0</v>
      </c>
      <c r="AI4" s="27">
        <f>'DANH MUC HUYEN'!AJ5</f>
        <v>0</v>
      </c>
      <c r="AJ4" s="27">
        <f>'DANH MUC HUYEN'!AK5</f>
        <v>0</v>
      </c>
      <c r="AK4" s="27">
        <f>'DANH MUC HUYEN'!AL5</f>
        <v>0</v>
      </c>
      <c r="AL4" s="27">
        <f>'DANH MUC HUYEN'!AM5</f>
        <v>0</v>
      </c>
      <c r="AM4" s="27">
        <f>'DANH MUC HUYEN'!AN5</f>
        <v>0</v>
      </c>
      <c r="AN4" s="27">
        <f>'DANH MUC HUYEN'!AO5</f>
        <v>0</v>
      </c>
      <c r="AO4" s="27">
        <f>'DANH MUC HUYEN'!AP5</f>
        <v>0</v>
      </c>
      <c r="AP4" s="27">
        <f>'DANH MUC HUYEN'!AQ5</f>
        <v>0</v>
      </c>
      <c r="AQ4" s="27">
        <f>'DANH MUC HUYEN'!AR5</f>
        <v>0</v>
      </c>
      <c r="AR4" s="27">
        <f>'DANH MUC HUYEN'!AS5</f>
        <v>0</v>
      </c>
      <c r="AS4" s="27">
        <f>'DANH MUC HUYEN'!AT5</f>
        <v>0</v>
      </c>
      <c r="AT4" s="27">
        <f>'DANH MUC HUYEN'!AU5</f>
        <v>0</v>
      </c>
      <c r="AU4" s="27">
        <f>'DANH MUC HUYEN'!AV5</f>
        <v>0</v>
      </c>
      <c r="AV4" s="27">
        <f>'DANH MUC HUYEN'!AW5</f>
        <v>0</v>
      </c>
      <c r="AW4" s="27">
        <f>'DANH MUC HUYEN'!AX5</f>
        <v>0</v>
      </c>
      <c r="AX4" s="27">
        <f>'DANH MUC HUYEN'!AY5</f>
        <v>0</v>
      </c>
      <c r="AY4" s="27">
        <f>'DANH MUC HUYEN'!AZ5</f>
        <v>0</v>
      </c>
      <c r="AZ4" s="27">
        <f>'DANH MUC HUYEN'!BA5</f>
        <v>0</v>
      </c>
      <c r="BA4" s="27">
        <f>'DANH MUC HUYEN'!BB5</f>
        <v>0</v>
      </c>
      <c r="BB4" s="27">
        <f>'DANH MUC HUYEN'!BC5</f>
        <v>0</v>
      </c>
      <c r="BC4" s="27">
        <f>'DANH MUC HUYEN'!BD5</f>
        <v>0</v>
      </c>
      <c r="BD4" s="27">
        <f>'DANH MUC HUYEN'!BE5</f>
        <v>10.17</v>
      </c>
      <c r="BE4" s="27">
        <f>'DANH MUC HUYEN'!BF5</f>
        <v>0</v>
      </c>
      <c r="BF4" s="27">
        <f>'DANH MUC HUYEN'!BG5</f>
        <v>0</v>
      </c>
      <c r="BG4" s="27">
        <f>'DANH MUC HUYEN'!BH5</f>
        <v>0</v>
      </c>
      <c r="BH4" s="27"/>
      <c r="BI4" s="27"/>
      <c r="BJ4" s="27"/>
      <c r="BK4" s="27"/>
    </row>
    <row r="5" spans="1:63" x14ac:dyDescent="0.35">
      <c r="A5" s="27" t="str">
        <f>'DANH MUC HUYEN'!A14</f>
        <v>II</v>
      </c>
      <c r="B5" s="27" t="str">
        <f>'DANH MUC HUYEN'!B14</f>
        <v>Đất trồng cây lâu năm</v>
      </c>
      <c r="C5" s="27" t="str">
        <f>'DANH MUC HUYEN'!C14</f>
        <v>CLN</v>
      </c>
      <c r="D5" s="27">
        <f>'DANH MUC HUYEN'!D14</f>
        <v>102.53</v>
      </c>
      <c r="E5" s="27">
        <f>'DANH MUC HUYEN'!E14</f>
        <v>0</v>
      </c>
      <c r="F5" s="33">
        <f>'DANH MUC HUYEN'!F14</f>
        <v>102.53</v>
      </c>
      <c r="G5" s="27">
        <f>'DANH MUC HUYEN'!G14</f>
        <v>0</v>
      </c>
      <c r="H5" s="27">
        <f>'DANH MUC HUYEN'!H14</f>
        <v>0</v>
      </c>
      <c r="I5" s="27">
        <f>'DANH MUC HUYEN'!I14</f>
        <v>0</v>
      </c>
      <c r="J5" s="27">
        <f>'DANH MUC HUYEN'!J14</f>
        <v>102.53</v>
      </c>
      <c r="K5" s="27">
        <f>'DANH MUC HUYEN'!K14</f>
        <v>0</v>
      </c>
      <c r="L5" s="27">
        <f>'DANH MUC HUYEN'!L14</f>
        <v>0</v>
      </c>
      <c r="M5" s="27"/>
      <c r="N5" s="27"/>
      <c r="O5" s="28">
        <f>'DANH MUC HUYEN'!P14</f>
        <v>0</v>
      </c>
      <c r="P5" s="28">
        <f>'DANH MUC HUYEN'!Q14</f>
        <v>0</v>
      </c>
      <c r="Q5" s="27">
        <f>'DANH MUC HUYEN'!R14</f>
        <v>0</v>
      </c>
      <c r="R5" s="27">
        <f>'DANH MUC HUYEN'!S14</f>
        <v>0</v>
      </c>
      <c r="S5" s="27">
        <f>'DANH MUC HUYEN'!T14</f>
        <v>0</v>
      </c>
      <c r="T5" s="27">
        <f>'DANH MUC HUYEN'!U14</f>
        <v>0</v>
      </c>
      <c r="U5" s="27">
        <f>'DANH MUC HUYEN'!V14</f>
        <v>0</v>
      </c>
      <c r="V5" s="27">
        <f>'DANH MUC HUYEN'!W14</f>
        <v>0</v>
      </c>
      <c r="W5" s="27">
        <f>'DANH MUC HUYEN'!X14</f>
        <v>97.31</v>
      </c>
      <c r="X5" s="27">
        <f>'DANH MUC HUYEN'!Y14</f>
        <v>0</v>
      </c>
      <c r="Y5" s="27">
        <f>'DANH MUC HUYEN'!Z14</f>
        <v>0</v>
      </c>
      <c r="Z5" s="27">
        <f>'DANH MUC HUYEN'!AA14</f>
        <v>0</v>
      </c>
      <c r="AA5" s="27">
        <f>'DANH MUC HUYEN'!AB14</f>
        <v>0</v>
      </c>
      <c r="AB5" s="27">
        <f>'DANH MUC HUYEN'!AC14</f>
        <v>0</v>
      </c>
      <c r="AC5" s="27">
        <f>'DANH MUC HUYEN'!AD14</f>
        <v>0</v>
      </c>
      <c r="AD5" s="27">
        <f>'DANH MUC HUYEN'!AE14</f>
        <v>0</v>
      </c>
      <c r="AE5" s="27">
        <f>'DANH MUC HUYEN'!AF14</f>
        <v>0</v>
      </c>
      <c r="AF5" s="27">
        <f>'DANH MUC HUYEN'!AG14</f>
        <v>0</v>
      </c>
      <c r="AG5" s="27">
        <f>'DANH MUC HUYEN'!AH14</f>
        <v>0</v>
      </c>
      <c r="AH5" s="27">
        <f>'DANH MUC HUYEN'!AI14</f>
        <v>0</v>
      </c>
      <c r="AI5" s="27">
        <f>'DANH MUC HUYEN'!AJ14</f>
        <v>0</v>
      </c>
      <c r="AJ5" s="27">
        <f>'DANH MUC HUYEN'!AK14</f>
        <v>0</v>
      </c>
      <c r="AK5" s="27">
        <f>'DANH MUC HUYEN'!AL14</f>
        <v>0</v>
      </c>
      <c r="AL5" s="27">
        <f>'DANH MUC HUYEN'!AM14</f>
        <v>0</v>
      </c>
      <c r="AM5" s="27">
        <f>'DANH MUC HUYEN'!AN14</f>
        <v>0</v>
      </c>
      <c r="AN5" s="27">
        <f>'DANH MUC HUYEN'!AO14</f>
        <v>0</v>
      </c>
      <c r="AO5" s="27">
        <f>'DANH MUC HUYEN'!AP14</f>
        <v>0</v>
      </c>
      <c r="AP5" s="27">
        <f>'DANH MUC HUYEN'!AQ14</f>
        <v>0</v>
      </c>
      <c r="AQ5" s="27">
        <f>'DANH MUC HUYEN'!AR14</f>
        <v>0</v>
      </c>
      <c r="AR5" s="27">
        <f>'DANH MUC HUYEN'!AS14</f>
        <v>0</v>
      </c>
      <c r="AS5" s="27">
        <f>'DANH MUC HUYEN'!AT14</f>
        <v>0</v>
      </c>
      <c r="AT5" s="27">
        <f>'DANH MUC HUYEN'!AU14</f>
        <v>0</v>
      </c>
      <c r="AU5" s="27">
        <f>'DANH MUC HUYEN'!AV14</f>
        <v>0</v>
      </c>
      <c r="AV5" s="27">
        <f>'DANH MUC HUYEN'!AW14</f>
        <v>0</v>
      </c>
      <c r="AW5" s="27">
        <f>'DANH MUC HUYEN'!AX14</f>
        <v>0</v>
      </c>
      <c r="AX5" s="27">
        <f>'DANH MUC HUYEN'!AY14</f>
        <v>0</v>
      </c>
      <c r="AY5" s="27">
        <f>'DANH MUC HUYEN'!AZ14</f>
        <v>0</v>
      </c>
      <c r="AZ5" s="27">
        <f>'DANH MUC HUYEN'!BA14</f>
        <v>0</v>
      </c>
      <c r="BA5" s="27">
        <f>'DANH MUC HUYEN'!BB14</f>
        <v>0</v>
      </c>
      <c r="BB5" s="27">
        <f>'DANH MUC HUYEN'!BC14</f>
        <v>0</v>
      </c>
      <c r="BC5" s="27">
        <f>'DANH MUC HUYEN'!BD14</f>
        <v>0</v>
      </c>
      <c r="BD5" s="27">
        <f>'DANH MUC HUYEN'!BE14</f>
        <v>5.22</v>
      </c>
      <c r="BE5" s="27">
        <f>'DANH MUC HUYEN'!BF14</f>
        <v>0</v>
      </c>
      <c r="BF5" s="27">
        <f>'DANH MUC HUYEN'!BG14</f>
        <v>0</v>
      </c>
      <c r="BG5" s="27">
        <f>'DANH MUC HUYEN'!BH14</f>
        <v>0</v>
      </c>
      <c r="BH5" s="27"/>
      <c r="BI5" s="27"/>
      <c r="BJ5" s="27"/>
      <c r="BK5" s="27"/>
    </row>
    <row r="6" spans="1:63" x14ac:dyDescent="0.35">
      <c r="A6" s="27" t="str">
        <f>'DANH MUC HUYEN'!A18</f>
        <v>III</v>
      </c>
      <c r="B6" s="27" t="str">
        <f>'DANH MUC HUYEN'!B18</f>
        <v>Đất rừng sản xuất</v>
      </c>
      <c r="C6" s="27" t="str">
        <f>'DANH MUC HUYEN'!C18</f>
        <v>RSX</v>
      </c>
      <c r="D6" s="27">
        <f>'DANH MUC HUYEN'!D18</f>
        <v>193.07</v>
      </c>
      <c r="E6" s="27">
        <f>'DANH MUC HUYEN'!E18</f>
        <v>5</v>
      </c>
      <c r="F6" s="33">
        <f>'DANH MUC HUYEN'!F18</f>
        <v>188.07</v>
      </c>
      <c r="G6" s="27">
        <f>'DANH MUC HUYEN'!G18</f>
        <v>0</v>
      </c>
      <c r="H6" s="27">
        <f>'DANH MUC HUYEN'!H18</f>
        <v>20.65</v>
      </c>
      <c r="I6" s="27">
        <f>'DANH MUC HUYEN'!I18</f>
        <v>0</v>
      </c>
      <c r="J6" s="27">
        <f>'DANH MUC HUYEN'!J18</f>
        <v>167.42</v>
      </c>
      <c r="K6" s="27">
        <f>'DANH MUC HUYEN'!K18</f>
        <v>0</v>
      </c>
      <c r="L6" s="27">
        <f>'DANH MUC HUYEN'!L18</f>
        <v>0</v>
      </c>
      <c r="M6" s="27"/>
      <c r="N6" s="27"/>
      <c r="O6" s="28">
        <f>'DANH MUC HUYEN'!P18</f>
        <v>0</v>
      </c>
      <c r="P6" s="28">
        <f>'DANH MUC HUYEN'!Q18</f>
        <v>0</v>
      </c>
      <c r="Q6" s="27">
        <f>'DANH MUC HUYEN'!R18</f>
        <v>0</v>
      </c>
      <c r="R6" s="27">
        <f>'DANH MUC HUYEN'!S18</f>
        <v>0</v>
      </c>
      <c r="S6" s="27">
        <f>'DANH MUC HUYEN'!T18</f>
        <v>0</v>
      </c>
      <c r="T6" s="27">
        <f>'DANH MUC HUYEN'!U18</f>
        <v>0</v>
      </c>
      <c r="U6" s="27">
        <f>'DANH MUC HUYEN'!V18</f>
        <v>0</v>
      </c>
      <c r="V6" s="27">
        <f>'DANH MUC HUYEN'!W18</f>
        <v>0</v>
      </c>
      <c r="W6" s="27">
        <f>'DANH MUC HUYEN'!X18</f>
        <v>37.74</v>
      </c>
      <c r="X6" s="27">
        <f>'DANH MUC HUYEN'!Y18</f>
        <v>0</v>
      </c>
      <c r="Y6" s="27">
        <f>'DANH MUC HUYEN'!Z18</f>
        <v>0</v>
      </c>
      <c r="Z6" s="27">
        <f>'DANH MUC HUYEN'!AA18</f>
        <v>0</v>
      </c>
      <c r="AA6" s="27">
        <f>'DANH MUC HUYEN'!AB18</f>
        <v>0</v>
      </c>
      <c r="AB6" s="27">
        <f>'DANH MUC HUYEN'!AC18</f>
        <v>0</v>
      </c>
      <c r="AC6" s="27">
        <f>'DANH MUC HUYEN'!AD18</f>
        <v>0</v>
      </c>
      <c r="AD6" s="27">
        <f>'DANH MUC HUYEN'!AE18</f>
        <v>0</v>
      </c>
      <c r="AE6" s="27">
        <f>'DANH MUC HUYEN'!AF18</f>
        <v>0</v>
      </c>
      <c r="AF6" s="27">
        <f>'DANH MUC HUYEN'!AG18</f>
        <v>0</v>
      </c>
      <c r="AG6" s="27">
        <f>'DANH MUC HUYEN'!AH18</f>
        <v>0</v>
      </c>
      <c r="AH6" s="27">
        <f>'DANH MUC HUYEN'!AI18</f>
        <v>0</v>
      </c>
      <c r="AI6" s="27">
        <f>'DANH MUC HUYEN'!AJ18</f>
        <v>0</v>
      </c>
      <c r="AJ6" s="27">
        <f>'DANH MUC HUYEN'!AK18</f>
        <v>0</v>
      </c>
      <c r="AK6" s="27">
        <f>'DANH MUC HUYEN'!AL18</f>
        <v>0</v>
      </c>
      <c r="AL6" s="27">
        <f>'DANH MUC HUYEN'!AM18</f>
        <v>0</v>
      </c>
      <c r="AM6" s="27">
        <f>'DANH MUC HUYEN'!AN18</f>
        <v>0</v>
      </c>
      <c r="AN6" s="27">
        <f>'DANH MUC HUYEN'!AO18</f>
        <v>0</v>
      </c>
      <c r="AO6" s="27">
        <f>'DANH MUC HUYEN'!AP18</f>
        <v>0</v>
      </c>
      <c r="AP6" s="27">
        <f>'DANH MUC HUYEN'!AQ18</f>
        <v>0</v>
      </c>
      <c r="AQ6" s="27">
        <f>'DANH MUC HUYEN'!AR18</f>
        <v>0</v>
      </c>
      <c r="AR6" s="27">
        <f>'DANH MUC HUYEN'!AS18</f>
        <v>0</v>
      </c>
      <c r="AS6" s="27">
        <f>'DANH MUC HUYEN'!AT18</f>
        <v>0</v>
      </c>
      <c r="AT6" s="27">
        <f>'DANH MUC HUYEN'!AU18</f>
        <v>0</v>
      </c>
      <c r="AU6" s="27">
        <f>'DANH MUC HUYEN'!AV18</f>
        <v>0</v>
      </c>
      <c r="AV6" s="27">
        <f>'DANH MUC HUYEN'!AW18</f>
        <v>0</v>
      </c>
      <c r="AW6" s="27">
        <f>'DANH MUC HUYEN'!AX18</f>
        <v>0</v>
      </c>
      <c r="AX6" s="27">
        <f>'DANH MUC HUYEN'!AY18</f>
        <v>0</v>
      </c>
      <c r="AY6" s="27">
        <f>'DANH MUC HUYEN'!AZ18</f>
        <v>0</v>
      </c>
      <c r="AZ6" s="27">
        <f>'DANH MUC HUYEN'!BA18</f>
        <v>0</v>
      </c>
      <c r="BA6" s="27">
        <f>'DANH MUC HUYEN'!BB18</f>
        <v>0</v>
      </c>
      <c r="BB6" s="27">
        <f>'DANH MUC HUYEN'!BC18</f>
        <v>0</v>
      </c>
      <c r="BC6" s="27">
        <f>'DANH MUC HUYEN'!BD18</f>
        <v>0</v>
      </c>
      <c r="BD6" s="27">
        <f>'DANH MUC HUYEN'!BE18</f>
        <v>129.68</v>
      </c>
      <c r="BE6" s="27">
        <f>'DANH MUC HUYEN'!BF18</f>
        <v>0</v>
      </c>
      <c r="BF6" s="27">
        <f>'DANH MUC HUYEN'!BG18</f>
        <v>0</v>
      </c>
      <c r="BG6" s="27">
        <f>'DANH MUC HUYEN'!BH18</f>
        <v>0</v>
      </c>
      <c r="BH6" s="27"/>
      <c r="BI6" s="27"/>
      <c r="BJ6" s="27"/>
      <c r="BK6" s="27"/>
    </row>
    <row r="7" spans="1:63" x14ac:dyDescent="0.35">
      <c r="A7" s="27" t="str">
        <f>'DANH MUC HUYEN'!A25</f>
        <v>IV</v>
      </c>
      <c r="B7" s="27" t="str">
        <f>'DANH MUC HUYEN'!B25</f>
        <v>Đất nuôi trồng thủy sản</v>
      </c>
      <c r="C7" s="27" t="str">
        <f>'DANH MUC HUYEN'!C25</f>
        <v>NTS</v>
      </c>
      <c r="D7" s="27">
        <f>'DANH MUC HUYEN'!D25</f>
        <v>755.86</v>
      </c>
      <c r="E7" s="27">
        <f>'DANH MUC HUYEN'!E25</f>
        <v>4</v>
      </c>
      <c r="F7" s="33">
        <f>'DANH MUC HUYEN'!F25</f>
        <v>751.86</v>
      </c>
      <c r="G7" s="27">
        <f>'DANH MUC HUYEN'!G25</f>
        <v>40.090000000000003</v>
      </c>
      <c r="H7" s="27">
        <f>'DANH MUC HUYEN'!H25</f>
        <v>0</v>
      </c>
      <c r="I7" s="27">
        <f>'DANH MUC HUYEN'!I25</f>
        <v>0</v>
      </c>
      <c r="J7" s="27">
        <f>'DANH MUC HUYEN'!J25</f>
        <v>701.77000000000021</v>
      </c>
      <c r="K7" s="27">
        <f>'DANH MUC HUYEN'!K25</f>
        <v>0</v>
      </c>
      <c r="L7" s="27">
        <f>'DANH MUC HUYEN'!L25</f>
        <v>0</v>
      </c>
      <c r="M7" s="27"/>
      <c r="N7" s="27"/>
      <c r="O7" s="28">
        <f>'DANH MUC HUYEN'!P25</f>
        <v>0</v>
      </c>
      <c r="P7" s="28">
        <f>'DANH MUC HUYEN'!Q25</f>
        <v>0</v>
      </c>
      <c r="Q7" s="27">
        <f>'DANH MUC HUYEN'!R25</f>
        <v>0</v>
      </c>
      <c r="R7" s="27">
        <f>'DANH MUC HUYEN'!S25</f>
        <v>0</v>
      </c>
      <c r="S7" s="27">
        <f>'DANH MUC HUYEN'!T25</f>
        <v>0</v>
      </c>
      <c r="T7" s="27">
        <f>'DANH MUC HUYEN'!U25</f>
        <v>0</v>
      </c>
      <c r="U7" s="27">
        <f>'DANH MUC HUYEN'!V25</f>
        <v>0</v>
      </c>
      <c r="V7" s="27">
        <f>'DANH MUC HUYEN'!W25</f>
        <v>0</v>
      </c>
      <c r="W7" s="27">
        <f>'DANH MUC HUYEN'!X25</f>
        <v>0</v>
      </c>
      <c r="X7" s="27">
        <f>'DANH MUC HUYEN'!Y25</f>
        <v>0</v>
      </c>
      <c r="Y7" s="27">
        <f>'DANH MUC HUYEN'!Z25</f>
        <v>35.32</v>
      </c>
      <c r="Z7" s="27">
        <f>'DANH MUC HUYEN'!AA25</f>
        <v>0</v>
      </c>
      <c r="AA7" s="27">
        <f>'DANH MUC HUYEN'!AB25</f>
        <v>312.43</v>
      </c>
      <c r="AB7" s="27">
        <f>'DANH MUC HUYEN'!AC25</f>
        <v>0</v>
      </c>
      <c r="AC7" s="27">
        <f>'DANH MUC HUYEN'!AD25</f>
        <v>3.97</v>
      </c>
      <c r="AD7" s="27">
        <f>'DANH MUC HUYEN'!AE25</f>
        <v>0</v>
      </c>
      <c r="AE7" s="27">
        <f>'DANH MUC HUYEN'!AF25</f>
        <v>0</v>
      </c>
      <c r="AF7" s="27">
        <f>'DANH MUC HUYEN'!AG25</f>
        <v>0</v>
      </c>
      <c r="AG7" s="27">
        <f>'DANH MUC HUYEN'!AH25</f>
        <v>0</v>
      </c>
      <c r="AH7" s="27">
        <f>'DANH MUC HUYEN'!AI25</f>
        <v>0</v>
      </c>
      <c r="AI7" s="27">
        <f>'DANH MUC HUYEN'!AJ25</f>
        <v>0</v>
      </c>
      <c r="AJ7" s="27">
        <f>'DANH MUC HUYEN'!AK25</f>
        <v>0</v>
      </c>
      <c r="AK7" s="27">
        <f>'DANH MUC HUYEN'!AL25</f>
        <v>0</v>
      </c>
      <c r="AL7" s="27">
        <f>'DANH MUC HUYEN'!AM25</f>
        <v>0</v>
      </c>
      <c r="AM7" s="27">
        <f>'DANH MUC HUYEN'!AN25</f>
        <v>0</v>
      </c>
      <c r="AN7" s="27">
        <f>'DANH MUC HUYEN'!AO25</f>
        <v>0</v>
      </c>
      <c r="AO7" s="27">
        <f>'DANH MUC HUYEN'!AP25</f>
        <v>0</v>
      </c>
      <c r="AP7" s="27">
        <f>'DANH MUC HUYEN'!AQ25</f>
        <v>0.1</v>
      </c>
      <c r="AQ7" s="27">
        <f>'DANH MUC HUYEN'!AR25</f>
        <v>47.28</v>
      </c>
      <c r="AR7" s="27">
        <f>'DANH MUC HUYEN'!AS25</f>
        <v>0</v>
      </c>
      <c r="AS7" s="27">
        <f>'DANH MUC HUYEN'!AT25</f>
        <v>0</v>
      </c>
      <c r="AT7" s="27">
        <f>'DANH MUC HUYEN'!AU25</f>
        <v>0</v>
      </c>
      <c r="AU7" s="27">
        <f>'DANH MUC HUYEN'!AV25</f>
        <v>0</v>
      </c>
      <c r="AV7" s="27">
        <f>'DANH MUC HUYEN'!AW25</f>
        <v>0</v>
      </c>
      <c r="AW7" s="27">
        <f>'DANH MUC HUYEN'!AX25</f>
        <v>0</v>
      </c>
      <c r="AX7" s="27">
        <f>'DANH MUC HUYEN'!AY25</f>
        <v>0</v>
      </c>
      <c r="AY7" s="27">
        <f>'DANH MUC HUYEN'!AZ25</f>
        <v>0</v>
      </c>
      <c r="AZ7" s="27">
        <f>'DANH MUC HUYEN'!BA25</f>
        <v>0</v>
      </c>
      <c r="BA7" s="27">
        <f>'DANH MUC HUYEN'!BB25</f>
        <v>0</v>
      </c>
      <c r="BB7" s="27">
        <f>'DANH MUC HUYEN'!BC25</f>
        <v>113.63</v>
      </c>
      <c r="BC7" s="27">
        <f>'DANH MUC HUYEN'!BD25</f>
        <v>108.1</v>
      </c>
      <c r="BD7" s="27">
        <f>'DANH MUC HUYEN'!BE25</f>
        <v>76.239999999999995</v>
      </c>
      <c r="BE7" s="27">
        <f>'DANH MUC HUYEN'!BF25</f>
        <v>0</v>
      </c>
      <c r="BF7" s="27">
        <f>'DANH MUC HUYEN'!BG25</f>
        <v>0</v>
      </c>
      <c r="BG7" s="27">
        <f>'DANH MUC HUYEN'!BH25</f>
        <v>4.7</v>
      </c>
      <c r="BH7" s="27"/>
      <c r="BI7" s="27"/>
      <c r="BJ7" s="27"/>
      <c r="BK7" s="27"/>
    </row>
    <row r="8" spans="1:63" x14ac:dyDescent="0.35">
      <c r="A8" s="27" t="str">
        <f>'DANH MUC HUYEN'!A62</f>
        <v>V</v>
      </c>
      <c r="B8" s="27" t="str">
        <f>'DANH MUC HUYEN'!B62</f>
        <v>Đất làm muối</v>
      </c>
      <c r="C8" s="27" t="str">
        <f>'DANH MUC HUYEN'!C62</f>
        <v>LMU</v>
      </c>
      <c r="D8" s="27">
        <f>'DANH MUC HUYEN'!D62</f>
        <v>22</v>
      </c>
      <c r="E8" s="27">
        <f>'DANH MUC HUYEN'!E62</f>
        <v>0</v>
      </c>
      <c r="F8" s="33">
        <f>'DANH MUC HUYEN'!F62</f>
        <v>22</v>
      </c>
      <c r="G8" s="27">
        <f>'DANH MUC HUYEN'!G62</f>
        <v>0</v>
      </c>
      <c r="H8" s="27">
        <f>'DANH MUC HUYEN'!H62</f>
        <v>0</v>
      </c>
      <c r="I8" s="27">
        <f>'DANH MUC HUYEN'!I62</f>
        <v>0</v>
      </c>
      <c r="J8" s="27">
        <f>'DANH MUC HUYEN'!J62</f>
        <v>22</v>
      </c>
      <c r="K8" s="27">
        <f>'DANH MUC HUYEN'!K62</f>
        <v>0</v>
      </c>
      <c r="L8" s="27">
        <f>'DANH MUC HUYEN'!L62</f>
        <v>0</v>
      </c>
      <c r="M8" s="27"/>
      <c r="N8" s="27"/>
      <c r="O8" s="28">
        <f>'DANH MUC HUYEN'!P62</f>
        <v>0</v>
      </c>
      <c r="P8" s="28">
        <f>'DANH MUC HUYEN'!Q62</f>
        <v>0</v>
      </c>
      <c r="Q8" s="27">
        <f>'DANH MUC HUYEN'!R62</f>
        <v>0</v>
      </c>
      <c r="R8" s="27">
        <f>'DANH MUC HUYEN'!S62</f>
        <v>0</v>
      </c>
      <c r="S8" s="27">
        <f>'DANH MUC HUYEN'!T62</f>
        <v>0</v>
      </c>
      <c r="T8" s="27">
        <f>'DANH MUC HUYEN'!U62</f>
        <v>0</v>
      </c>
      <c r="U8" s="27">
        <f>'DANH MUC HUYEN'!V62</f>
        <v>0</v>
      </c>
      <c r="V8" s="27">
        <f>'DANH MUC HUYEN'!W62</f>
        <v>0</v>
      </c>
      <c r="W8" s="27">
        <f>'DANH MUC HUYEN'!X62</f>
        <v>0</v>
      </c>
      <c r="X8" s="27">
        <f>'DANH MUC HUYEN'!Y62</f>
        <v>0</v>
      </c>
      <c r="Y8" s="27">
        <f>'DANH MUC HUYEN'!Z62</f>
        <v>0</v>
      </c>
      <c r="Z8" s="27">
        <f>'DANH MUC HUYEN'!AA62</f>
        <v>0</v>
      </c>
      <c r="AA8" s="27">
        <f>'DANH MUC HUYEN'!AB62</f>
        <v>0</v>
      </c>
      <c r="AB8" s="27">
        <f>'DANH MUC HUYEN'!AC62</f>
        <v>22</v>
      </c>
      <c r="AC8" s="27">
        <f>'DANH MUC HUYEN'!AD62</f>
        <v>0</v>
      </c>
      <c r="AD8" s="27">
        <f>'DANH MUC HUYEN'!AE62</f>
        <v>0</v>
      </c>
      <c r="AE8" s="27">
        <f>'DANH MUC HUYEN'!AF62</f>
        <v>0</v>
      </c>
      <c r="AF8" s="27">
        <f>'DANH MUC HUYEN'!AG62</f>
        <v>0</v>
      </c>
      <c r="AG8" s="27">
        <f>'DANH MUC HUYEN'!AH62</f>
        <v>0</v>
      </c>
      <c r="AH8" s="27">
        <f>'DANH MUC HUYEN'!AI62</f>
        <v>0</v>
      </c>
      <c r="AI8" s="27">
        <f>'DANH MUC HUYEN'!AJ62</f>
        <v>0</v>
      </c>
      <c r="AJ8" s="27">
        <f>'DANH MUC HUYEN'!AK62</f>
        <v>0</v>
      </c>
      <c r="AK8" s="27">
        <f>'DANH MUC HUYEN'!AL62</f>
        <v>0</v>
      </c>
      <c r="AL8" s="27">
        <f>'DANH MUC HUYEN'!AM62</f>
        <v>0</v>
      </c>
      <c r="AM8" s="27">
        <f>'DANH MUC HUYEN'!AN62</f>
        <v>0</v>
      </c>
      <c r="AN8" s="27">
        <f>'DANH MUC HUYEN'!AO62</f>
        <v>0</v>
      </c>
      <c r="AO8" s="27">
        <f>'DANH MUC HUYEN'!AP62</f>
        <v>0</v>
      </c>
      <c r="AP8" s="27">
        <f>'DANH MUC HUYEN'!AQ62</f>
        <v>0</v>
      </c>
      <c r="AQ8" s="27">
        <f>'DANH MUC HUYEN'!AR62</f>
        <v>0</v>
      </c>
      <c r="AR8" s="27">
        <f>'DANH MUC HUYEN'!AS62</f>
        <v>0</v>
      </c>
      <c r="AS8" s="27">
        <f>'DANH MUC HUYEN'!AT62</f>
        <v>0</v>
      </c>
      <c r="AT8" s="27">
        <f>'DANH MUC HUYEN'!AU62</f>
        <v>0</v>
      </c>
      <c r="AU8" s="27">
        <f>'DANH MUC HUYEN'!AV62</f>
        <v>0</v>
      </c>
      <c r="AV8" s="27">
        <f>'DANH MUC HUYEN'!AW62</f>
        <v>0</v>
      </c>
      <c r="AW8" s="27">
        <f>'DANH MUC HUYEN'!AX62</f>
        <v>0</v>
      </c>
      <c r="AX8" s="27">
        <f>'DANH MUC HUYEN'!AY62</f>
        <v>0</v>
      </c>
      <c r="AY8" s="27">
        <f>'DANH MUC HUYEN'!AZ62</f>
        <v>0</v>
      </c>
      <c r="AZ8" s="27">
        <f>'DANH MUC HUYEN'!BA62</f>
        <v>0</v>
      </c>
      <c r="BA8" s="27">
        <f>'DANH MUC HUYEN'!BB62</f>
        <v>0</v>
      </c>
      <c r="BB8" s="27">
        <f>'DANH MUC HUYEN'!BC62</f>
        <v>0</v>
      </c>
      <c r="BC8" s="27">
        <f>'DANH MUC HUYEN'!BD62</f>
        <v>0</v>
      </c>
      <c r="BD8" s="27">
        <f>'DANH MUC HUYEN'!BE62</f>
        <v>0</v>
      </c>
      <c r="BE8" s="27">
        <f>'DANH MUC HUYEN'!BF62</f>
        <v>0</v>
      </c>
      <c r="BF8" s="27">
        <f>'DANH MUC HUYEN'!BG62</f>
        <v>0</v>
      </c>
      <c r="BG8" s="27">
        <f>'DANH MUC HUYEN'!BH62</f>
        <v>0</v>
      </c>
      <c r="BH8" s="27"/>
      <c r="BI8" s="27"/>
      <c r="BJ8" s="27"/>
      <c r="BK8" s="27"/>
    </row>
    <row r="9" spans="1:63" x14ac:dyDescent="0.35">
      <c r="A9" s="27" t="str">
        <f>'DANH MUC HUYEN'!A64</f>
        <v>VI</v>
      </c>
      <c r="B9" s="27" t="str">
        <f>'DANH MUC HUYEN'!B64</f>
        <v>Đất nông nghiệp khác</v>
      </c>
      <c r="C9" s="27" t="str">
        <f>'DANH MUC HUYEN'!C64</f>
        <v>NKH</v>
      </c>
      <c r="D9" s="27">
        <f>'DANH MUC HUYEN'!D64</f>
        <v>655.98099999999988</v>
      </c>
      <c r="E9" s="27">
        <f>'DANH MUC HUYEN'!E64</f>
        <v>8.9</v>
      </c>
      <c r="F9" s="33">
        <f>'DANH MUC HUYEN'!F64</f>
        <v>647.07999999999981</v>
      </c>
      <c r="G9" s="27">
        <f>'DANH MUC HUYEN'!G64</f>
        <v>178.53</v>
      </c>
      <c r="H9" s="27">
        <f>'DANH MUC HUYEN'!H64</f>
        <v>0</v>
      </c>
      <c r="I9" s="27">
        <f>'DANH MUC HUYEN'!I64</f>
        <v>0</v>
      </c>
      <c r="J9" s="27">
        <f>'DANH MUC HUYEN'!J64</f>
        <v>468.55</v>
      </c>
      <c r="K9" s="27">
        <f>'DANH MUC HUYEN'!K64</f>
        <v>0</v>
      </c>
      <c r="L9" s="27">
        <f>'DANH MUC HUYEN'!L64</f>
        <v>0</v>
      </c>
      <c r="M9" s="27"/>
      <c r="N9" s="27"/>
      <c r="O9" s="28">
        <f>'DANH MUC HUYEN'!P64</f>
        <v>0</v>
      </c>
      <c r="P9" s="28">
        <f>'DANH MUC HUYEN'!Q64</f>
        <v>0</v>
      </c>
      <c r="Q9" s="27">
        <f>'DANH MUC HUYEN'!R64</f>
        <v>0</v>
      </c>
      <c r="R9" s="27">
        <f>'DANH MUC HUYEN'!S64</f>
        <v>0</v>
      </c>
      <c r="S9" s="27">
        <f>'DANH MUC HUYEN'!T64</f>
        <v>0</v>
      </c>
      <c r="T9" s="27">
        <f>'DANH MUC HUYEN'!U64</f>
        <v>0</v>
      </c>
      <c r="U9" s="27">
        <f>'DANH MUC HUYEN'!V64</f>
        <v>0</v>
      </c>
      <c r="V9" s="27">
        <f>'DANH MUC HUYEN'!W64</f>
        <v>0</v>
      </c>
      <c r="W9" s="27">
        <f>'DANH MUC HUYEN'!X64</f>
        <v>182.34</v>
      </c>
      <c r="X9" s="27">
        <f>'DANH MUC HUYEN'!Y64</f>
        <v>0</v>
      </c>
      <c r="Y9" s="27">
        <f>'DANH MUC HUYEN'!Z64</f>
        <v>34.959999999999994</v>
      </c>
      <c r="Z9" s="27">
        <f>'DANH MUC HUYEN'!AA64</f>
        <v>51.95</v>
      </c>
      <c r="AA9" s="27">
        <f>'DANH MUC HUYEN'!AB64</f>
        <v>43.190000000000005</v>
      </c>
      <c r="AB9" s="27">
        <f>'DANH MUC HUYEN'!AC64</f>
        <v>0</v>
      </c>
      <c r="AC9" s="27">
        <f>'DANH MUC HUYEN'!AD64</f>
        <v>6.7</v>
      </c>
      <c r="AD9" s="27">
        <f>'DANH MUC HUYEN'!AE64</f>
        <v>0.25</v>
      </c>
      <c r="AE9" s="27">
        <f>'DANH MUC HUYEN'!AF64</f>
        <v>0</v>
      </c>
      <c r="AF9" s="27">
        <f>'DANH MUC HUYEN'!AG64</f>
        <v>0</v>
      </c>
      <c r="AG9" s="27">
        <f>'DANH MUC HUYEN'!AH64</f>
        <v>0</v>
      </c>
      <c r="AH9" s="27">
        <f>'DANH MUC HUYEN'!AI64</f>
        <v>0</v>
      </c>
      <c r="AI9" s="27">
        <f>'DANH MUC HUYEN'!AJ64</f>
        <v>0</v>
      </c>
      <c r="AJ9" s="27">
        <f>'DANH MUC HUYEN'!AK64</f>
        <v>0</v>
      </c>
      <c r="AK9" s="27">
        <f>'DANH MUC HUYEN'!AL64</f>
        <v>0</v>
      </c>
      <c r="AL9" s="27">
        <f>'DANH MUC HUYEN'!AM64</f>
        <v>0</v>
      </c>
      <c r="AM9" s="27">
        <f>'DANH MUC HUYEN'!AN64</f>
        <v>0</v>
      </c>
      <c r="AN9" s="27">
        <f>'DANH MUC HUYEN'!AO64</f>
        <v>0</v>
      </c>
      <c r="AO9" s="27">
        <f>'DANH MUC HUYEN'!AP64</f>
        <v>0</v>
      </c>
      <c r="AP9" s="27">
        <f>'DANH MUC HUYEN'!AQ64</f>
        <v>2.0900000000000003</v>
      </c>
      <c r="AQ9" s="27">
        <f>'DANH MUC HUYEN'!AR64</f>
        <v>1.4700000000000002</v>
      </c>
      <c r="AR9" s="27">
        <f>'DANH MUC HUYEN'!AS64</f>
        <v>0</v>
      </c>
      <c r="AS9" s="27">
        <f>'DANH MUC HUYEN'!AT64</f>
        <v>0</v>
      </c>
      <c r="AT9" s="27">
        <f>'DANH MUC HUYEN'!AU64</f>
        <v>0</v>
      </c>
      <c r="AU9" s="27">
        <f>'DANH MUC HUYEN'!AV64</f>
        <v>0</v>
      </c>
      <c r="AV9" s="27">
        <f>'DANH MUC HUYEN'!AW64</f>
        <v>0</v>
      </c>
      <c r="AW9" s="27">
        <f>'DANH MUC HUYEN'!AX64</f>
        <v>0</v>
      </c>
      <c r="AX9" s="27">
        <f>'DANH MUC HUYEN'!AY64</f>
        <v>0</v>
      </c>
      <c r="AY9" s="27">
        <f>'DANH MUC HUYEN'!AZ64</f>
        <v>0</v>
      </c>
      <c r="AZ9" s="27">
        <f>'DANH MUC HUYEN'!BA64</f>
        <v>0</v>
      </c>
      <c r="BA9" s="27">
        <f>'DANH MUC HUYEN'!BB64</f>
        <v>0</v>
      </c>
      <c r="BB9" s="27">
        <f>'DANH MUC HUYEN'!BC64</f>
        <v>21.54</v>
      </c>
      <c r="BC9" s="27">
        <f>'DANH MUC HUYEN'!BD64</f>
        <v>39.909999999999989</v>
      </c>
      <c r="BD9" s="27">
        <f>'DANH MUC HUYEN'!BE64</f>
        <v>77.349999999999994</v>
      </c>
      <c r="BE9" s="27">
        <f>'DANH MUC HUYEN'!BF64</f>
        <v>0</v>
      </c>
      <c r="BF9" s="27">
        <f>'DANH MUC HUYEN'!BG64</f>
        <v>6.8</v>
      </c>
      <c r="BG9" s="27">
        <f>'DANH MUC HUYEN'!BH64</f>
        <v>0</v>
      </c>
      <c r="BH9" s="27"/>
      <c r="BI9" s="27"/>
      <c r="BJ9" s="27"/>
      <c r="BK9" s="27"/>
    </row>
    <row r="10" spans="1:63" x14ac:dyDescent="0.35">
      <c r="A10" s="27" t="str">
        <f>'DANH MUC HUYEN'!A112</f>
        <v>VII</v>
      </c>
      <c r="B10" s="27" t="str">
        <f>'DANH MUC HUYEN'!B112</f>
        <v>Đất quốc phòng</v>
      </c>
      <c r="C10" s="27" t="str">
        <f>'DANH MUC HUYEN'!C112</f>
        <v>CQP</v>
      </c>
      <c r="D10" s="27">
        <f>'DANH MUC HUYEN'!D112</f>
        <v>368.72</v>
      </c>
      <c r="E10" s="27">
        <f>'DANH MUC HUYEN'!E112</f>
        <v>0</v>
      </c>
      <c r="F10" s="33">
        <f>'DANH MUC HUYEN'!F112</f>
        <v>368.72</v>
      </c>
      <c r="G10" s="27">
        <f>'DANH MUC HUYEN'!G112</f>
        <v>7.69</v>
      </c>
      <c r="H10" s="27">
        <f>'DANH MUC HUYEN'!H112</f>
        <v>360.1</v>
      </c>
      <c r="I10" s="27">
        <f>'DANH MUC HUYEN'!I112</f>
        <v>0</v>
      </c>
      <c r="J10" s="27">
        <f>'DANH MUC HUYEN'!J112</f>
        <v>0.93</v>
      </c>
      <c r="K10" s="27">
        <f>'DANH MUC HUYEN'!K112</f>
        <v>0</v>
      </c>
      <c r="L10" s="27">
        <f>'DANH MUC HUYEN'!L112</f>
        <v>0</v>
      </c>
      <c r="M10" s="27"/>
      <c r="N10" s="27"/>
      <c r="O10" s="28">
        <f>'DANH MUC HUYEN'!P112</f>
        <v>0</v>
      </c>
      <c r="P10" s="28">
        <f>'DANH MUC HUYEN'!Q112</f>
        <v>355.1</v>
      </c>
      <c r="Q10" s="27">
        <f>'DANH MUC HUYEN'!R112</f>
        <v>5</v>
      </c>
      <c r="R10" s="27">
        <f>'DANH MUC HUYEN'!S112</f>
        <v>0</v>
      </c>
      <c r="S10" s="27">
        <f>'DANH MUC HUYEN'!T112</f>
        <v>0</v>
      </c>
      <c r="T10" s="27">
        <f>'DANH MUC HUYEN'!U112</f>
        <v>0</v>
      </c>
      <c r="U10" s="27">
        <f>'DANH MUC HUYEN'!V112</f>
        <v>0</v>
      </c>
      <c r="V10" s="27">
        <f>'DANH MUC HUYEN'!W112</f>
        <v>0</v>
      </c>
      <c r="W10" s="27">
        <f>'DANH MUC HUYEN'!X112</f>
        <v>0</v>
      </c>
      <c r="X10" s="27">
        <f>'DANH MUC HUYEN'!Y112</f>
        <v>0</v>
      </c>
      <c r="Y10" s="27">
        <f>'DANH MUC HUYEN'!Z112</f>
        <v>0.41000000000000003</v>
      </c>
      <c r="Z10" s="27">
        <f>'DANH MUC HUYEN'!AA112</f>
        <v>0</v>
      </c>
      <c r="AA10" s="27">
        <f>'DANH MUC HUYEN'!AB112</f>
        <v>0</v>
      </c>
      <c r="AB10" s="27">
        <f>'DANH MUC HUYEN'!AC112</f>
        <v>0</v>
      </c>
      <c r="AC10" s="27">
        <f>'DANH MUC HUYEN'!AD112</f>
        <v>0</v>
      </c>
      <c r="AD10" s="27">
        <f>'DANH MUC HUYEN'!AE112</f>
        <v>0</v>
      </c>
      <c r="AE10" s="27">
        <f>'DANH MUC HUYEN'!AF112</f>
        <v>0</v>
      </c>
      <c r="AF10" s="27">
        <f>'DANH MUC HUYEN'!AG112</f>
        <v>0.12</v>
      </c>
      <c r="AG10" s="27">
        <f>'DANH MUC HUYEN'!AH112</f>
        <v>0</v>
      </c>
      <c r="AH10" s="27">
        <f>'DANH MUC HUYEN'!AI112</f>
        <v>0</v>
      </c>
      <c r="AI10" s="27">
        <f>'DANH MUC HUYEN'!AJ112</f>
        <v>0</v>
      </c>
      <c r="AJ10" s="27">
        <f>'DANH MUC HUYEN'!AK112</f>
        <v>0</v>
      </c>
      <c r="AK10" s="27">
        <f>'DANH MUC HUYEN'!AL112</f>
        <v>0</v>
      </c>
      <c r="AL10" s="27">
        <f>'DANH MUC HUYEN'!AM112</f>
        <v>0</v>
      </c>
      <c r="AM10" s="27">
        <f>'DANH MUC HUYEN'!AN112</f>
        <v>0</v>
      </c>
      <c r="AN10" s="27">
        <f>'DANH MUC HUYEN'!AO112</f>
        <v>0</v>
      </c>
      <c r="AO10" s="27">
        <f>'DANH MUC HUYEN'!AP112</f>
        <v>0</v>
      </c>
      <c r="AP10" s="27">
        <f>'DANH MUC HUYEN'!AQ112</f>
        <v>0</v>
      </c>
      <c r="AQ10" s="27">
        <f>'DANH MUC HUYEN'!AR112</f>
        <v>0</v>
      </c>
      <c r="AR10" s="27">
        <f>'DANH MUC HUYEN'!AS112</f>
        <v>0</v>
      </c>
      <c r="AS10" s="27">
        <f>'DANH MUC HUYEN'!AT112</f>
        <v>0</v>
      </c>
      <c r="AT10" s="27">
        <f>'DANH MUC HUYEN'!AU112</f>
        <v>0</v>
      </c>
      <c r="AU10" s="27">
        <f>'DANH MUC HUYEN'!AV112</f>
        <v>0</v>
      </c>
      <c r="AV10" s="27">
        <f>'DANH MUC HUYEN'!AW112</f>
        <v>0</v>
      </c>
      <c r="AW10" s="27">
        <f>'DANH MUC HUYEN'!AX112</f>
        <v>0</v>
      </c>
      <c r="AX10" s="27">
        <f>'DANH MUC HUYEN'!AY112</f>
        <v>0</v>
      </c>
      <c r="AY10" s="27">
        <f>'DANH MUC HUYEN'!AZ112</f>
        <v>0</v>
      </c>
      <c r="AZ10" s="27">
        <f>'DANH MUC HUYEN'!BA112</f>
        <v>0</v>
      </c>
      <c r="BA10" s="27">
        <f>'DANH MUC HUYEN'!BB112</f>
        <v>0</v>
      </c>
      <c r="BB10" s="27">
        <f>'DANH MUC HUYEN'!BC112</f>
        <v>0</v>
      </c>
      <c r="BC10" s="27">
        <f>'DANH MUC HUYEN'!BD112</f>
        <v>0</v>
      </c>
      <c r="BD10" s="27">
        <f>'DANH MUC HUYEN'!BE112</f>
        <v>0.4</v>
      </c>
      <c r="BE10" s="27">
        <f>'DANH MUC HUYEN'!BF112</f>
        <v>0</v>
      </c>
      <c r="BF10" s="27">
        <f>'DANH MUC HUYEN'!BG112</f>
        <v>0</v>
      </c>
      <c r="BG10" s="27">
        <f>'DANH MUC HUYEN'!BH112</f>
        <v>0</v>
      </c>
      <c r="BH10" s="27"/>
      <c r="BI10" s="27"/>
      <c r="BJ10" s="27"/>
      <c r="BK10" s="27"/>
    </row>
    <row r="11" spans="1:63" x14ac:dyDescent="0.35">
      <c r="A11" s="27" t="str">
        <f>'DANH MUC HUYEN'!A125</f>
        <v>VIII</v>
      </c>
      <c r="B11" s="27" t="str">
        <f>'DANH MUC HUYEN'!B125</f>
        <v>Đất an ninh</v>
      </c>
      <c r="C11" s="27" t="str">
        <f>'DANH MUC HUYEN'!C125</f>
        <v>CAN</v>
      </c>
      <c r="D11" s="27">
        <f>'DANH MUC HUYEN'!D125</f>
        <v>43.690000000000033</v>
      </c>
      <c r="E11" s="27">
        <f>'DANH MUC HUYEN'!E125</f>
        <v>1.1000000000000001</v>
      </c>
      <c r="F11" s="33">
        <f>'DANH MUC HUYEN'!F125</f>
        <v>42.590000000000025</v>
      </c>
      <c r="G11" s="27">
        <f>'DANH MUC HUYEN'!G125</f>
        <v>25.529999999999994</v>
      </c>
      <c r="H11" s="27">
        <f>'DANH MUC HUYEN'!H125</f>
        <v>0</v>
      </c>
      <c r="I11" s="27">
        <f>'DANH MUC HUYEN'!I125</f>
        <v>0</v>
      </c>
      <c r="J11" s="27">
        <f>'DANH MUC HUYEN'!J125</f>
        <v>17.059999999999999</v>
      </c>
      <c r="K11" s="27">
        <f>'DANH MUC HUYEN'!K125</f>
        <v>0</v>
      </c>
      <c r="L11" s="27">
        <f>'DANH MUC HUYEN'!L125</f>
        <v>0</v>
      </c>
      <c r="M11" s="27"/>
      <c r="N11" s="27"/>
      <c r="O11" s="28">
        <f>'DANH MUC HUYEN'!P125</f>
        <v>0</v>
      </c>
      <c r="P11" s="28">
        <f>'DANH MUC HUYEN'!Q125</f>
        <v>0</v>
      </c>
      <c r="Q11" s="27">
        <f>'DANH MUC HUYEN'!R125</f>
        <v>0</v>
      </c>
      <c r="R11" s="27">
        <f>'DANH MUC HUYEN'!S125</f>
        <v>0</v>
      </c>
      <c r="S11" s="27">
        <f>'DANH MUC HUYEN'!T125</f>
        <v>0</v>
      </c>
      <c r="T11" s="27">
        <f>'DANH MUC HUYEN'!U125</f>
        <v>0</v>
      </c>
      <c r="U11" s="27">
        <f>'DANH MUC HUYEN'!V125</f>
        <v>0</v>
      </c>
      <c r="V11" s="27">
        <f>'DANH MUC HUYEN'!W125</f>
        <v>0</v>
      </c>
      <c r="W11" s="27">
        <f>'DANH MUC HUYEN'!X125</f>
        <v>0</v>
      </c>
      <c r="X11" s="27">
        <f>'DANH MUC HUYEN'!Y125</f>
        <v>0</v>
      </c>
      <c r="Y11" s="27">
        <f>'DANH MUC HUYEN'!Z125</f>
        <v>0.21</v>
      </c>
      <c r="Z11" s="27">
        <f>'DANH MUC HUYEN'!AA125</f>
        <v>0</v>
      </c>
      <c r="AA11" s="27">
        <f>'DANH MUC HUYEN'!AB125</f>
        <v>0.2</v>
      </c>
      <c r="AB11" s="27">
        <f>'DANH MUC HUYEN'!AC125</f>
        <v>0</v>
      </c>
      <c r="AC11" s="27">
        <f>'DANH MUC HUYEN'!AD125</f>
        <v>0.2</v>
      </c>
      <c r="AD11" s="27">
        <f>'DANH MUC HUYEN'!AE125</f>
        <v>0</v>
      </c>
      <c r="AE11" s="27">
        <f>'DANH MUC HUYEN'!AF125</f>
        <v>0</v>
      </c>
      <c r="AF11" s="27">
        <f>'DANH MUC HUYEN'!AG125</f>
        <v>0.77</v>
      </c>
      <c r="AG11" s="27">
        <f>'DANH MUC HUYEN'!AH125</f>
        <v>0</v>
      </c>
      <c r="AH11" s="27">
        <f>'DANH MUC HUYEN'!AI125</f>
        <v>0</v>
      </c>
      <c r="AI11" s="27">
        <f>'DANH MUC HUYEN'!AJ125</f>
        <v>0</v>
      </c>
      <c r="AJ11" s="27">
        <f>'DANH MUC HUYEN'!AK125</f>
        <v>0</v>
      </c>
      <c r="AK11" s="27">
        <f>'DANH MUC HUYEN'!AL125</f>
        <v>0</v>
      </c>
      <c r="AL11" s="27">
        <f>'DANH MUC HUYEN'!AM125</f>
        <v>0.21</v>
      </c>
      <c r="AM11" s="27">
        <f>'DANH MUC HUYEN'!AN125</f>
        <v>0</v>
      </c>
      <c r="AN11" s="27">
        <f>'DANH MUC HUYEN'!AO125</f>
        <v>0</v>
      </c>
      <c r="AO11" s="27">
        <f>'DANH MUC HUYEN'!AP125</f>
        <v>0</v>
      </c>
      <c r="AP11" s="27">
        <f>'DANH MUC HUYEN'!AQ125</f>
        <v>0.1</v>
      </c>
      <c r="AQ11" s="27">
        <f>'DANH MUC HUYEN'!AR125</f>
        <v>0</v>
      </c>
      <c r="AR11" s="27">
        <f>'DANH MUC HUYEN'!AS125</f>
        <v>0</v>
      </c>
      <c r="AS11" s="27">
        <f>'DANH MUC HUYEN'!AT125</f>
        <v>0</v>
      </c>
      <c r="AT11" s="27">
        <f>'DANH MUC HUYEN'!AU125</f>
        <v>0</v>
      </c>
      <c r="AU11" s="27">
        <f>'DANH MUC HUYEN'!AV125</f>
        <v>0.15</v>
      </c>
      <c r="AV11" s="27">
        <f>'DANH MUC HUYEN'!AW125</f>
        <v>0</v>
      </c>
      <c r="AW11" s="27">
        <f>'DANH MUC HUYEN'!AX125</f>
        <v>0</v>
      </c>
      <c r="AX11" s="27">
        <f>'DANH MUC HUYEN'!AY125</f>
        <v>0</v>
      </c>
      <c r="AY11" s="27">
        <f>'DANH MUC HUYEN'!AZ125</f>
        <v>0</v>
      </c>
      <c r="AZ11" s="27">
        <f>'DANH MUC HUYEN'!BA125</f>
        <v>0</v>
      </c>
      <c r="BA11" s="27">
        <f>'DANH MUC HUYEN'!BB125</f>
        <v>0</v>
      </c>
      <c r="BB11" s="27">
        <f>'DANH MUC HUYEN'!BC125</f>
        <v>0</v>
      </c>
      <c r="BC11" s="27">
        <f>'DANH MUC HUYEN'!BD125</f>
        <v>0</v>
      </c>
      <c r="BD11" s="27">
        <f>'DANH MUC HUYEN'!BE125</f>
        <v>15.22</v>
      </c>
      <c r="BE11" s="27">
        <f>'DANH MUC HUYEN'!BF125</f>
        <v>0</v>
      </c>
      <c r="BF11" s="27">
        <f>'DANH MUC HUYEN'!BG125</f>
        <v>0</v>
      </c>
      <c r="BG11" s="27">
        <f>'DANH MUC HUYEN'!BH125</f>
        <v>0</v>
      </c>
      <c r="BH11" s="27"/>
      <c r="BI11" s="27"/>
      <c r="BJ11" s="27"/>
      <c r="BK11" s="27"/>
    </row>
    <row r="12" spans="1:63" x14ac:dyDescent="0.35">
      <c r="A12" s="27" t="str">
        <f>'DANH MUC HUYEN'!A152</f>
        <v>IX</v>
      </c>
      <c r="B12" s="27" t="str">
        <f>'DANH MUC HUYEN'!B152</f>
        <v>Đất khu công nghiệp</v>
      </c>
      <c r="C12" s="27" t="str">
        <f>'DANH MUC HUYEN'!C152</f>
        <v>SKK</v>
      </c>
      <c r="D12" s="27">
        <f>'DANH MUC HUYEN'!D152</f>
        <v>1197.42</v>
      </c>
      <c r="E12" s="27">
        <f>'DANH MUC HUYEN'!E152</f>
        <v>0</v>
      </c>
      <c r="F12" s="33">
        <f>'DANH MUC HUYEN'!F152</f>
        <v>1197.42</v>
      </c>
      <c r="G12" s="27">
        <f>'DANH MUC HUYEN'!G152</f>
        <v>1042.2</v>
      </c>
      <c r="H12" s="27">
        <f>'DANH MUC HUYEN'!H152</f>
        <v>0</v>
      </c>
      <c r="I12" s="27">
        <f>'DANH MUC HUYEN'!I152</f>
        <v>0</v>
      </c>
      <c r="J12" s="27">
        <f>'DANH MUC HUYEN'!J152</f>
        <v>155.22</v>
      </c>
      <c r="K12" s="27">
        <f>'DANH MUC HUYEN'!K152</f>
        <v>0</v>
      </c>
      <c r="L12" s="27">
        <f>'DANH MUC HUYEN'!L152</f>
        <v>0</v>
      </c>
      <c r="M12" s="27"/>
      <c r="N12" s="27"/>
      <c r="O12" s="28">
        <f>'DANH MUC HUYEN'!P152</f>
        <v>0</v>
      </c>
      <c r="P12" s="28">
        <f>'DANH MUC HUYEN'!Q152</f>
        <v>0</v>
      </c>
      <c r="Q12" s="27">
        <f>'DANH MUC HUYEN'!R152</f>
        <v>0</v>
      </c>
      <c r="R12" s="27">
        <f>'DANH MUC HUYEN'!S152</f>
        <v>0</v>
      </c>
      <c r="S12" s="27">
        <f>'DANH MUC HUYEN'!T152</f>
        <v>0</v>
      </c>
      <c r="T12" s="27">
        <f>'DANH MUC HUYEN'!U152</f>
        <v>0</v>
      </c>
      <c r="U12" s="27">
        <f>'DANH MUC HUYEN'!V152</f>
        <v>0</v>
      </c>
      <c r="V12" s="27">
        <f>'DANH MUC HUYEN'!W152</f>
        <v>0</v>
      </c>
      <c r="W12" s="27">
        <f>'DANH MUC HUYEN'!X152</f>
        <v>0</v>
      </c>
      <c r="X12" s="27">
        <f>'DANH MUC HUYEN'!Y152</f>
        <v>0</v>
      </c>
      <c r="Y12" s="27">
        <f>'DANH MUC HUYEN'!Z152</f>
        <v>0</v>
      </c>
      <c r="Z12" s="27">
        <f>'DANH MUC HUYEN'!AA152</f>
        <v>5</v>
      </c>
      <c r="AA12" s="27">
        <f>'DANH MUC HUYEN'!AB152</f>
        <v>3</v>
      </c>
      <c r="AB12" s="27">
        <f>'DANH MUC HUYEN'!AC152</f>
        <v>0</v>
      </c>
      <c r="AC12" s="27">
        <f>'DANH MUC HUYEN'!AD152</f>
        <v>61.9</v>
      </c>
      <c r="AD12" s="27">
        <f>'DANH MUC HUYEN'!AE152</f>
        <v>9.5</v>
      </c>
      <c r="AE12" s="27">
        <f>'DANH MUC HUYEN'!AF152</f>
        <v>0</v>
      </c>
      <c r="AF12" s="27">
        <f>'DANH MUC HUYEN'!AG152</f>
        <v>0</v>
      </c>
      <c r="AG12" s="27">
        <f>'DANH MUC HUYEN'!AH152</f>
        <v>0</v>
      </c>
      <c r="AH12" s="27">
        <f>'DANH MUC HUYEN'!AI152</f>
        <v>0</v>
      </c>
      <c r="AI12" s="27">
        <f>'DANH MUC HUYEN'!AJ152</f>
        <v>0</v>
      </c>
      <c r="AJ12" s="27">
        <f>'DANH MUC HUYEN'!AK152</f>
        <v>0</v>
      </c>
      <c r="AK12" s="27">
        <f>'DANH MUC HUYEN'!AL152</f>
        <v>0</v>
      </c>
      <c r="AL12" s="27">
        <f>'DANH MUC HUYEN'!AM152</f>
        <v>0</v>
      </c>
      <c r="AM12" s="27">
        <f>'DANH MUC HUYEN'!AN152</f>
        <v>0</v>
      </c>
      <c r="AN12" s="27">
        <f>'DANH MUC HUYEN'!AO152</f>
        <v>0</v>
      </c>
      <c r="AO12" s="27">
        <f>'DANH MUC HUYEN'!AP152</f>
        <v>0</v>
      </c>
      <c r="AP12" s="27">
        <f>'DANH MUC HUYEN'!AQ152</f>
        <v>15.3</v>
      </c>
      <c r="AQ12" s="27">
        <f>'DANH MUC HUYEN'!AR152</f>
        <v>20.2</v>
      </c>
      <c r="AR12" s="27">
        <f>'DANH MUC HUYEN'!AS152</f>
        <v>0</v>
      </c>
      <c r="AS12" s="27">
        <f>'DANH MUC HUYEN'!AT152</f>
        <v>0</v>
      </c>
      <c r="AT12" s="27">
        <f>'DANH MUC HUYEN'!AU152</f>
        <v>0</v>
      </c>
      <c r="AU12" s="27">
        <f>'DANH MUC HUYEN'!AV152</f>
        <v>0</v>
      </c>
      <c r="AV12" s="27">
        <f>'DANH MUC HUYEN'!AW152</f>
        <v>0</v>
      </c>
      <c r="AW12" s="27">
        <f>'DANH MUC HUYEN'!AX152</f>
        <v>0</v>
      </c>
      <c r="AX12" s="27">
        <f>'DANH MUC HUYEN'!AY152</f>
        <v>0</v>
      </c>
      <c r="AY12" s="27">
        <f>'DANH MUC HUYEN'!AZ152</f>
        <v>0</v>
      </c>
      <c r="AZ12" s="27">
        <f>'DANH MUC HUYEN'!BA152</f>
        <v>0</v>
      </c>
      <c r="BA12" s="27">
        <f>'DANH MUC HUYEN'!BB152</f>
        <v>14.28</v>
      </c>
      <c r="BB12" s="27">
        <f>'DANH MUC HUYEN'!BC152</f>
        <v>1.3199999999999998</v>
      </c>
      <c r="BC12" s="27">
        <f>'DANH MUC HUYEN'!BD152</f>
        <v>0</v>
      </c>
      <c r="BD12" s="27">
        <f>'DANH MUC HUYEN'!BE152</f>
        <v>24.72</v>
      </c>
      <c r="BE12" s="27">
        <f>'DANH MUC HUYEN'!BF152</f>
        <v>0</v>
      </c>
      <c r="BF12" s="27">
        <f>'DANH MUC HUYEN'!BG152</f>
        <v>0</v>
      </c>
      <c r="BG12" s="27">
        <f>'DANH MUC HUYEN'!BH152</f>
        <v>0</v>
      </c>
      <c r="BH12" s="27"/>
      <c r="BI12" s="27"/>
      <c r="BJ12" s="27"/>
      <c r="BK12" s="27"/>
    </row>
    <row r="13" spans="1:63" x14ac:dyDescent="0.35">
      <c r="A13" s="27" t="str">
        <f>'DANH MUC HUYEN'!A157</f>
        <v>X</v>
      </c>
      <c r="B13" s="27" t="str">
        <f>'DANH MUC HUYEN'!B157</f>
        <v>Đất cụm công nghiệp</v>
      </c>
      <c r="C13" s="27" t="str">
        <f>'DANH MUC HUYEN'!C157</f>
        <v>SKN</v>
      </c>
      <c r="D13" s="27">
        <f>'DANH MUC HUYEN'!D157</f>
        <v>164.52</v>
      </c>
      <c r="E13" s="27">
        <f>'DANH MUC HUYEN'!E157</f>
        <v>11.67</v>
      </c>
      <c r="F13" s="33">
        <f>'DANH MUC HUYEN'!F157</f>
        <v>152.85</v>
      </c>
      <c r="G13" s="27">
        <f>'DANH MUC HUYEN'!G157</f>
        <v>148.51</v>
      </c>
      <c r="H13" s="27">
        <f>'DANH MUC HUYEN'!H157</f>
        <v>0</v>
      </c>
      <c r="I13" s="27">
        <f>'DANH MUC HUYEN'!I157</f>
        <v>0</v>
      </c>
      <c r="J13" s="27">
        <f>'DANH MUC HUYEN'!J157</f>
        <v>4.34</v>
      </c>
      <c r="K13" s="27">
        <f>'DANH MUC HUYEN'!K157</f>
        <v>0</v>
      </c>
      <c r="L13" s="27">
        <f>'DANH MUC HUYEN'!L157</f>
        <v>0</v>
      </c>
      <c r="M13" s="27"/>
      <c r="N13" s="27"/>
      <c r="O13" s="28">
        <f>'DANH MUC HUYEN'!P157</f>
        <v>0</v>
      </c>
      <c r="P13" s="28">
        <f>'DANH MUC HUYEN'!Q157</f>
        <v>0</v>
      </c>
      <c r="Q13" s="27">
        <f>'DANH MUC HUYEN'!R157</f>
        <v>0</v>
      </c>
      <c r="R13" s="27">
        <f>'DANH MUC HUYEN'!S157</f>
        <v>0</v>
      </c>
      <c r="S13" s="27">
        <f>'DANH MUC HUYEN'!T157</f>
        <v>0</v>
      </c>
      <c r="T13" s="27">
        <f>'DANH MUC HUYEN'!U157</f>
        <v>0</v>
      </c>
      <c r="U13" s="27">
        <f>'DANH MUC HUYEN'!V157</f>
        <v>0</v>
      </c>
      <c r="V13" s="27">
        <f>'DANH MUC HUYEN'!W157</f>
        <v>0</v>
      </c>
      <c r="W13" s="27">
        <f>'DANH MUC HUYEN'!X157</f>
        <v>0</v>
      </c>
      <c r="X13" s="27">
        <f>'DANH MUC HUYEN'!Y157</f>
        <v>0</v>
      </c>
      <c r="Y13" s="27">
        <f>'DANH MUC HUYEN'!Z157</f>
        <v>0.4</v>
      </c>
      <c r="Z13" s="27">
        <f>'DANH MUC HUYEN'!AA157</f>
        <v>0</v>
      </c>
      <c r="AA13" s="27">
        <f>'DANH MUC HUYEN'!AB157</f>
        <v>1.64</v>
      </c>
      <c r="AB13" s="27">
        <f>'DANH MUC HUYEN'!AC157</f>
        <v>0</v>
      </c>
      <c r="AC13" s="27">
        <f>'DANH MUC HUYEN'!AD157</f>
        <v>0</v>
      </c>
      <c r="AD13" s="27">
        <f>'DANH MUC HUYEN'!AE157</f>
        <v>0</v>
      </c>
      <c r="AE13" s="27">
        <f>'DANH MUC HUYEN'!AF157</f>
        <v>0</v>
      </c>
      <c r="AF13" s="27">
        <f>'DANH MUC HUYEN'!AG157</f>
        <v>0</v>
      </c>
      <c r="AG13" s="27">
        <f>'DANH MUC HUYEN'!AH157</f>
        <v>0</v>
      </c>
      <c r="AH13" s="27">
        <f>'DANH MUC HUYEN'!AI157</f>
        <v>0</v>
      </c>
      <c r="AI13" s="27">
        <f>'DANH MUC HUYEN'!AJ157</f>
        <v>0</v>
      </c>
      <c r="AJ13" s="27">
        <f>'DANH MUC HUYEN'!AK157</f>
        <v>0</v>
      </c>
      <c r="AK13" s="27">
        <f>'DANH MUC HUYEN'!AL157</f>
        <v>0</v>
      </c>
      <c r="AL13" s="27">
        <f>'DANH MUC HUYEN'!AM157</f>
        <v>0</v>
      </c>
      <c r="AM13" s="27">
        <f>'DANH MUC HUYEN'!AN157</f>
        <v>0</v>
      </c>
      <c r="AN13" s="27">
        <f>'DANH MUC HUYEN'!AO157</f>
        <v>0</v>
      </c>
      <c r="AO13" s="27">
        <f>'DANH MUC HUYEN'!AP157</f>
        <v>0</v>
      </c>
      <c r="AP13" s="27">
        <f>'DANH MUC HUYEN'!AQ157</f>
        <v>2</v>
      </c>
      <c r="AQ13" s="27">
        <f>'DANH MUC HUYEN'!AR157</f>
        <v>0</v>
      </c>
      <c r="AR13" s="27">
        <f>'DANH MUC HUYEN'!AS157</f>
        <v>0</v>
      </c>
      <c r="AS13" s="27">
        <f>'DANH MUC HUYEN'!AT157</f>
        <v>0</v>
      </c>
      <c r="AT13" s="27">
        <f>'DANH MUC HUYEN'!AU157</f>
        <v>0</v>
      </c>
      <c r="AU13" s="27">
        <f>'DANH MUC HUYEN'!AV157</f>
        <v>0</v>
      </c>
      <c r="AV13" s="27">
        <f>'DANH MUC HUYEN'!AW157</f>
        <v>0</v>
      </c>
      <c r="AW13" s="27">
        <f>'DANH MUC HUYEN'!AX157</f>
        <v>0</v>
      </c>
      <c r="AX13" s="27">
        <f>'DANH MUC HUYEN'!AY157</f>
        <v>0</v>
      </c>
      <c r="AY13" s="27">
        <f>'DANH MUC HUYEN'!AZ157</f>
        <v>0</v>
      </c>
      <c r="AZ13" s="27">
        <f>'DANH MUC HUYEN'!BA157</f>
        <v>0</v>
      </c>
      <c r="BA13" s="27">
        <f>'DANH MUC HUYEN'!BB157</f>
        <v>0</v>
      </c>
      <c r="BB13" s="27">
        <f>'DANH MUC HUYEN'!BC157</f>
        <v>0</v>
      </c>
      <c r="BC13" s="27">
        <f>'DANH MUC HUYEN'!BD157</f>
        <v>0</v>
      </c>
      <c r="BD13" s="27">
        <f>'DANH MUC HUYEN'!BE157</f>
        <v>0.3</v>
      </c>
      <c r="BE13" s="27">
        <f>'DANH MUC HUYEN'!BF157</f>
        <v>0</v>
      </c>
      <c r="BF13" s="27">
        <f>'DANH MUC HUYEN'!BG157</f>
        <v>0</v>
      </c>
      <c r="BG13" s="27">
        <f>'DANH MUC HUYEN'!BH157</f>
        <v>0</v>
      </c>
      <c r="BH13" s="27"/>
      <c r="BI13" s="27"/>
      <c r="BJ13" s="27"/>
      <c r="BK13" s="27"/>
    </row>
    <row r="14" spans="1:63" x14ac:dyDescent="0.35">
      <c r="A14" s="27" t="str">
        <f>'DANH MUC HUYEN'!A161</f>
        <v>XI</v>
      </c>
      <c r="B14" s="27" t="str">
        <f>'DANH MUC HUYEN'!B161</f>
        <v>Đất thương mại, dịch vụ</v>
      </c>
      <c r="C14" s="27" t="str">
        <f>'DANH MUC HUYEN'!C161</f>
        <v>TMD</v>
      </c>
      <c r="D14" s="27">
        <f>'DANH MUC HUYEN'!D161</f>
        <v>1403.7900000000002</v>
      </c>
      <c r="E14" s="27">
        <f>'DANH MUC HUYEN'!E161</f>
        <v>12.32</v>
      </c>
      <c r="F14" s="33">
        <f>'DANH MUC HUYEN'!F161</f>
        <v>1391.4700000000005</v>
      </c>
      <c r="G14" s="27">
        <f>'DANH MUC HUYEN'!G161</f>
        <v>352.81</v>
      </c>
      <c r="H14" s="27">
        <f>'DANH MUC HUYEN'!H161</f>
        <v>15.7</v>
      </c>
      <c r="I14" s="27">
        <f>'DANH MUC HUYEN'!I161</f>
        <v>0</v>
      </c>
      <c r="J14" s="27">
        <f>'DANH MUC HUYEN'!J161</f>
        <v>1022.9600000000004</v>
      </c>
      <c r="K14" s="27">
        <f>'DANH MUC HUYEN'!K161</f>
        <v>0</v>
      </c>
      <c r="L14" s="27">
        <f>'DANH MUC HUYEN'!L161</f>
        <v>0</v>
      </c>
      <c r="M14" s="27"/>
      <c r="N14" s="27"/>
      <c r="O14" s="28">
        <f>'DANH MUC HUYEN'!P161</f>
        <v>0</v>
      </c>
      <c r="P14" s="28">
        <f>'DANH MUC HUYEN'!Q161</f>
        <v>9.69</v>
      </c>
      <c r="Q14" s="27">
        <f>'DANH MUC HUYEN'!R161</f>
        <v>6.01</v>
      </c>
      <c r="R14" s="27">
        <f>'DANH MUC HUYEN'!S161</f>
        <v>0</v>
      </c>
      <c r="S14" s="27">
        <f>'DANH MUC HUYEN'!T161</f>
        <v>0</v>
      </c>
      <c r="T14" s="27">
        <f>'DANH MUC HUYEN'!U161</f>
        <v>0</v>
      </c>
      <c r="U14" s="27">
        <f>'DANH MUC HUYEN'!V161</f>
        <v>0</v>
      </c>
      <c r="V14" s="27">
        <f>'DANH MUC HUYEN'!W161</f>
        <v>39.44</v>
      </c>
      <c r="W14" s="27">
        <f>'DANH MUC HUYEN'!X161</f>
        <v>271.18</v>
      </c>
      <c r="X14" s="27">
        <f>'DANH MUC HUYEN'!Y161</f>
        <v>5</v>
      </c>
      <c r="Y14" s="27">
        <f>'DANH MUC HUYEN'!Z161</f>
        <v>159.71000000000004</v>
      </c>
      <c r="Z14" s="27">
        <f>'DANH MUC HUYEN'!AA161</f>
        <v>31.03</v>
      </c>
      <c r="AA14" s="27">
        <f>'DANH MUC HUYEN'!AB161</f>
        <v>53.379999999999988</v>
      </c>
      <c r="AB14" s="27">
        <f>'DANH MUC HUYEN'!AC161</f>
        <v>2.5</v>
      </c>
      <c r="AC14" s="27">
        <f>'DANH MUC HUYEN'!AD161</f>
        <v>14.12</v>
      </c>
      <c r="AD14" s="27">
        <f>'DANH MUC HUYEN'!AE161</f>
        <v>100.55</v>
      </c>
      <c r="AE14" s="27">
        <f>'DANH MUC HUYEN'!AF161</f>
        <v>2.5</v>
      </c>
      <c r="AF14" s="27">
        <f>'DANH MUC HUYEN'!AG161</f>
        <v>0.13</v>
      </c>
      <c r="AG14" s="27">
        <f>'DANH MUC HUYEN'!AH161</f>
        <v>0</v>
      </c>
      <c r="AH14" s="27">
        <f>'DANH MUC HUYEN'!AI161</f>
        <v>0</v>
      </c>
      <c r="AI14" s="27">
        <f>'DANH MUC HUYEN'!AJ161</f>
        <v>0</v>
      </c>
      <c r="AJ14" s="27">
        <f>'DANH MUC HUYEN'!AK161</f>
        <v>0</v>
      </c>
      <c r="AK14" s="27">
        <f>'DANH MUC HUYEN'!AL161</f>
        <v>0</v>
      </c>
      <c r="AL14" s="27">
        <f>'DANH MUC HUYEN'!AM161</f>
        <v>0.35</v>
      </c>
      <c r="AM14" s="27">
        <f>'DANH MUC HUYEN'!AN161</f>
        <v>0</v>
      </c>
      <c r="AN14" s="27">
        <f>'DANH MUC HUYEN'!AO161</f>
        <v>2.9699999999999998</v>
      </c>
      <c r="AO14" s="27">
        <f>'DANH MUC HUYEN'!AP161</f>
        <v>0</v>
      </c>
      <c r="AP14" s="27">
        <f>'DANH MUC HUYEN'!AQ161</f>
        <v>45.079999999999991</v>
      </c>
      <c r="AQ14" s="27">
        <f>'DANH MUC HUYEN'!AR161</f>
        <v>4.91</v>
      </c>
      <c r="AR14" s="27">
        <f>'DANH MUC HUYEN'!AS161</f>
        <v>0</v>
      </c>
      <c r="AS14" s="27">
        <f>'DANH MUC HUYEN'!AT161</f>
        <v>0.13</v>
      </c>
      <c r="AT14" s="27">
        <f>'DANH MUC HUYEN'!AU161</f>
        <v>0</v>
      </c>
      <c r="AU14" s="27">
        <f>'DANH MUC HUYEN'!AV161</f>
        <v>0</v>
      </c>
      <c r="AV14" s="27">
        <f>'DANH MUC HUYEN'!AW161</f>
        <v>0.91000000000000014</v>
      </c>
      <c r="AW14" s="27">
        <f>'DANH MUC HUYEN'!AX161</f>
        <v>0</v>
      </c>
      <c r="AX14" s="27">
        <f>'DANH MUC HUYEN'!AY161</f>
        <v>0</v>
      </c>
      <c r="AY14" s="27">
        <f>'DANH MUC HUYEN'!AZ161</f>
        <v>1.07</v>
      </c>
      <c r="AZ14" s="27">
        <f>'DANH MUC HUYEN'!BA161</f>
        <v>0.66999999999999993</v>
      </c>
      <c r="BA14" s="27">
        <f>'DANH MUC HUYEN'!BB161</f>
        <v>15.509999999999998</v>
      </c>
      <c r="BB14" s="27">
        <f>'DANH MUC HUYEN'!BC161</f>
        <v>29.33</v>
      </c>
      <c r="BC14" s="27">
        <f>'DANH MUC HUYEN'!BD161</f>
        <v>6.26</v>
      </c>
      <c r="BD14" s="27">
        <f>'DANH MUC HUYEN'!BE161</f>
        <v>234.27999999999994</v>
      </c>
      <c r="BE14" s="27">
        <f>'DANH MUC HUYEN'!BF161</f>
        <v>0</v>
      </c>
      <c r="BF14" s="27">
        <f>'DANH MUC HUYEN'!BG161</f>
        <v>0.3</v>
      </c>
      <c r="BG14" s="27">
        <f>'DANH MUC HUYEN'!BH161</f>
        <v>0</v>
      </c>
      <c r="BH14" s="27"/>
      <c r="BI14" s="27"/>
      <c r="BJ14" s="27"/>
      <c r="BK14" s="27"/>
    </row>
    <row r="15" spans="1:63" x14ac:dyDescent="0.35">
      <c r="A15" s="27" t="str">
        <f>'DANH MUC HUYEN'!A225</f>
        <v>XII</v>
      </c>
      <c r="B15" s="27" t="str">
        <f>'DANH MUC HUYEN'!B225</f>
        <v>Đất cơ sở sản xuất phi nông nghiệp</v>
      </c>
      <c r="C15" s="27" t="str">
        <f>'DANH MUC HUYEN'!C225</f>
        <v>SKC</v>
      </c>
      <c r="D15" s="27">
        <f>'DANH MUC HUYEN'!D225</f>
        <v>54.589999999999996</v>
      </c>
      <c r="E15" s="27">
        <f>'DANH MUC HUYEN'!E225</f>
        <v>0</v>
      </c>
      <c r="F15" s="33">
        <f>'DANH MUC HUYEN'!F225</f>
        <v>54.589999999999996</v>
      </c>
      <c r="G15" s="27">
        <f>'DANH MUC HUYEN'!G225</f>
        <v>28.4</v>
      </c>
      <c r="H15" s="27">
        <f>'DANH MUC HUYEN'!H225</f>
        <v>0</v>
      </c>
      <c r="I15" s="27">
        <f>'DANH MUC HUYEN'!I225</f>
        <v>0</v>
      </c>
      <c r="J15" s="27">
        <f>'DANH MUC HUYEN'!J225</f>
        <v>26.190000000000005</v>
      </c>
      <c r="K15" s="27">
        <f>'DANH MUC HUYEN'!K225</f>
        <v>0</v>
      </c>
      <c r="L15" s="27">
        <f>'DANH MUC HUYEN'!L225</f>
        <v>0</v>
      </c>
      <c r="M15" s="27"/>
      <c r="N15" s="27"/>
      <c r="O15" s="28">
        <f>'DANH MUC HUYEN'!P225</f>
        <v>0</v>
      </c>
      <c r="P15" s="28">
        <f>'DANH MUC HUYEN'!Q225</f>
        <v>0</v>
      </c>
      <c r="Q15" s="27">
        <f>'DANH MUC HUYEN'!R225</f>
        <v>0</v>
      </c>
      <c r="R15" s="27">
        <f>'DANH MUC HUYEN'!S225</f>
        <v>0</v>
      </c>
      <c r="S15" s="27">
        <f>'DANH MUC HUYEN'!T225</f>
        <v>0</v>
      </c>
      <c r="T15" s="27">
        <f>'DANH MUC HUYEN'!U225</f>
        <v>0</v>
      </c>
      <c r="U15" s="27">
        <f>'DANH MUC HUYEN'!V225</f>
        <v>0</v>
      </c>
      <c r="V15" s="27">
        <f>'DANH MUC HUYEN'!W225</f>
        <v>0</v>
      </c>
      <c r="W15" s="27">
        <f>'DANH MUC HUYEN'!X225</f>
        <v>14.52</v>
      </c>
      <c r="X15" s="27">
        <f>'DANH MUC HUYEN'!Y225</f>
        <v>0</v>
      </c>
      <c r="Y15" s="27">
        <f>'DANH MUC HUYEN'!Z225</f>
        <v>2.99</v>
      </c>
      <c r="Z15" s="27">
        <f>'DANH MUC HUYEN'!AA225</f>
        <v>0</v>
      </c>
      <c r="AA15" s="27">
        <f>'DANH MUC HUYEN'!AB225</f>
        <v>0</v>
      </c>
      <c r="AB15" s="27">
        <f>'DANH MUC HUYEN'!AC225</f>
        <v>0</v>
      </c>
      <c r="AC15" s="27">
        <f>'DANH MUC HUYEN'!AD225</f>
        <v>0</v>
      </c>
      <c r="AD15" s="27">
        <f>'DANH MUC HUYEN'!AE225</f>
        <v>0</v>
      </c>
      <c r="AE15" s="27">
        <f>'DANH MUC HUYEN'!AF225</f>
        <v>0</v>
      </c>
      <c r="AF15" s="27">
        <f>'DANH MUC HUYEN'!AG225</f>
        <v>0</v>
      </c>
      <c r="AG15" s="27">
        <f>'DANH MUC HUYEN'!AH225</f>
        <v>0</v>
      </c>
      <c r="AH15" s="27">
        <f>'DANH MUC HUYEN'!AI225</f>
        <v>0</v>
      </c>
      <c r="AI15" s="27">
        <f>'DANH MUC HUYEN'!AJ225</f>
        <v>0</v>
      </c>
      <c r="AJ15" s="27">
        <f>'DANH MUC HUYEN'!AK225</f>
        <v>0</v>
      </c>
      <c r="AK15" s="27">
        <f>'DANH MUC HUYEN'!AL225</f>
        <v>0</v>
      </c>
      <c r="AL15" s="27">
        <f>'DANH MUC HUYEN'!AM225</f>
        <v>0</v>
      </c>
      <c r="AM15" s="27">
        <f>'DANH MUC HUYEN'!AN225</f>
        <v>0</v>
      </c>
      <c r="AN15" s="27">
        <f>'DANH MUC HUYEN'!AO225</f>
        <v>0</v>
      </c>
      <c r="AO15" s="27">
        <f>'DANH MUC HUYEN'!AP225</f>
        <v>0</v>
      </c>
      <c r="AP15" s="27">
        <f>'DANH MUC HUYEN'!AQ225</f>
        <v>0</v>
      </c>
      <c r="AQ15" s="27">
        <f>'DANH MUC HUYEN'!AR225</f>
        <v>4.49</v>
      </c>
      <c r="AR15" s="27">
        <f>'DANH MUC HUYEN'!AS225</f>
        <v>0</v>
      </c>
      <c r="AS15" s="27">
        <f>'DANH MUC HUYEN'!AT225</f>
        <v>0</v>
      </c>
      <c r="AT15" s="27">
        <f>'DANH MUC HUYEN'!AU225</f>
        <v>0</v>
      </c>
      <c r="AU15" s="27">
        <f>'DANH MUC HUYEN'!AV225</f>
        <v>0</v>
      </c>
      <c r="AV15" s="27">
        <f>'DANH MUC HUYEN'!AW225</f>
        <v>0</v>
      </c>
      <c r="AW15" s="27">
        <f>'DANH MUC HUYEN'!AX225</f>
        <v>0</v>
      </c>
      <c r="AX15" s="27">
        <f>'DANH MUC HUYEN'!AY225</f>
        <v>0</v>
      </c>
      <c r="AY15" s="27">
        <f>'DANH MUC HUYEN'!AZ225</f>
        <v>0</v>
      </c>
      <c r="AZ15" s="27">
        <f>'DANH MUC HUYEN'!BA225</f>
        <v>0</v>
      </c>
      <c r="BA15" s="27">
        <f>'DANH MUC HUYEN'!BB225</f>
        <v>0</v>
      </c>
      <c r="BB15" s="27">
        <f>'DANH MUC HUYEN'!BC225</f>
        <v>0</v>
      </c>
      <c r="BC15" s="27">
        <f>'DANH MUC HUYEN'!BD225</f>
        <v>0.5</v>
      </c>
      <c r="BD15" s="27">
        <f>'DANH MUC HUYEN'!BE225</f>
        <v>3.6900000000000004</v>
      </c>
      <c r="BE15" s="27">
        <f>'DANH MUC HUYEN'!BF225</f>
        <v>0</v>
      </c>
      <c r="BF15" s="27">
        <f>'DANH MUC HUYEN'!BG225</f>
        <v>0</v>
      </c>
      <c r="BG15" s="27">
        <f>'DANH MUC HUYEN'!BH225</f>
        <v>0</v>
      </c>
      <c r="BH15" s="27"/>
      <c r="BI15" s="27"/>
      <c r="BJ15" s="27"/>
      <c r="BK15" s="27"/>
    </row>
    <row r="16" spans="1:63" x14ac:dyDescent="0.35">
      <c r="A16" s="27" t="str">
        <f>'DANH MUC HUYEN'!A240</f>
        <v>XIII</v>
      </c>
      <c r="B16" s="27" t="str">
        <f>'DANH MUC HUYEN'!B240</f>
        <v>Đất sản xuất vật liệu xây dựng</v>
      </c>
      <c r="C16" s="27" t="str">
        <f>'DANH MUC HUYEN'!C240</f>
        <v>SKX</v>
      </c>
      <c r="D16" s="27">
        <f>'DANH MUC HUYEN'!D240</f>
        <v>286.26</v>
      </c>
      <c r="E16" s="27">
        <f>'DANH MUC HUYEN'!E240</f>
        <v>10.3</v>
      </c>
      <c r="F16" s="33">
        <f>'DANH MUC HUYEN'!F240</f>
        <v>275.95999999999998</v>
      </c>
      <c r="G16" s="27">
        <f>'DANH MUC HUYEN'!G240</f>
        <v>1.6</v>
      </c>
      <c r="H16" s="27">
        <f>'DANH MUC HUYEN'!H240</f>
        <v>0</v>
      </c>
      <c r="I16" s="27">
        <f>'DANH MUC HUYEN'!I240</f>
        <v>0</v>
      </c>
      <c r="J16" s="27">
        <f>'DANH MUC HUYEN'!J240</f>
        <v>274.35999999999996</v>
      </c>
      <c r="K16" s="27">
        <f>'DANH MUC HUYEN'!K240</f>
        <v>0</v>
      </c>
      <c r="L16" s="27">
        <f>'DANH MUC HUYEN'!L240</f>
        <v>0</v>
      </c>
      <c r="M16" s="27"/>
      <c r="N16" s="27"/>
      <c r="O16" s="28">
        <f>'DANH MUC HUYEN'!P240</f>
        <v>0</v>
      </c>
      <c r="P16" s="28">
        <f>'DANH MUC HUYEN'!Q240</f>
        <v>0</v>
      </c>
      <c r="Q16" s="27">
        <f>'DANH MUC HUYEN'!R240</f>
        <v>0</v>
      </c>
      <c r="R16" s="27">
        <f>'DANH MUC HUYEN'!S240</f>
        <v>0</v>
      </c>
      <c r="S16" s="27">
        <f>'DANH MUC HUYEN'!T240</f>
        <v>0</v>
      </c>
      <c r="T16" s="27">
        <f>'DANH MUC HUYEN'!U240</f>
        <v>0</v>
      </c>
      <c r="U16" s="27">
        <f>'DANH MUC HUYEN'!V240</f>
        <v>0</v>
      </c>
      <c r="V16" s="27">
        <f>'DANH MUC HUYEN'!W240</f>
        <v>0</v>
      </c>
      <c r="W16" s="27">
        <f>'DANH MUC HUYEN'!X240</f>
        <v>235</v>
      </c>
      <c r="X16" s="27">
        <f>'DANH MUC HUYEN'!Y240</f>
        <v>11.16</v>
      </c>
      <c r="Y16" s="27">
        <f>'DANH MUC HUYEN'!Z240</f>
        <v>0</v>
      </c>
      <c r="Z16" s="27">
        <f>'DANH MUC HUYEN'!AA240</f>
        <v>3.5</v>
      </c>
      <c r="AA16" s="27">
        <f>'DANH MUC HUYEN'!AB240</f>
        <v>0</v>
      </c>
      <c r="AB16" s="27">
        <f>'DANH MUC HUYEN'!AC240</f>
        <v>0</v>
      </c>
      <c r="AC16" s="27">
        <f>'DANH MUC HUYEN'!AD240</f>
        <v>0</v>
      </c>
      <c r="AD16" s="27">
        <f>'DANH MUC HUYEN'!AE240</f>
        <v>0</v>
      </c>
      <c r="AE16" s="27">
        <f>'DANH MUC HUYEN'!AF240</f>
        <v>0</v>
      </c>
      <c r="AF16" s="27">
        <f>'DANH MUC HUYEN'!AG240</f>
        <v>0</v>
      </c>
      <c r="AG16" s="27">
        <f>'DANH MUC HUYEN'!AH240</f>
        <v>0</v>
      </c>
      <c r="AH16" s="27">
        <f>'DANH MUC HUYEN'!AI240</f>
        <v>0</v>
      </c>
      <c r="AI16" s="27">
        <f>'DANH MUC HUYEN'!AJ240</f>
        <v>0</v>
      </c>
      <c r="AJ16" s="27">
        <f>'DANH MUC HUYEN'!AK240</f>
        <v>0</v>
      </c>
      <c r="AK16" s="27">
        <f>'DANH MUC HUYEN'!AL240</f>
        <v>0</v>
      </c>
      <c r="AL16" s="27">
        <f>'DANH MUC HUYEN'!AM240</f>
        <v>0</v>
      </c>
      <c r="AM16" s="27">
        <f>'DANH MUC HUYEN'!AN240</f>
        <v>0</v>
      </c>
      <c r="AN16" s="27">
        <f>'DANH MUC HUYEN'!AO240</f>
        <v>0</v>
      </c>
      <c r="AO16" s="27">
        <f>'DANH MUC HUYEN'!AP240</f>
        <v>0</v>
      </c>
      <c r="AP16" s="27">
        <f>'DANH MUC HUYEN'!AQ240</f>
        <v>0</v>
      </c>
      <c r="AQ16" s="27">
        <f>'DANH MUC HUYEN'!AR240</f>
        <v>0</v>
      </c>
      <c r="AR16" s="27">
        <f>'DANH MUC HUYEN'!AS240</f>
        <v>0</v>
      </c>
      <c r="AS16" s="27">
        <f>'DANH MUC HUYEN'!AT240</f>
        <v>0</v>
      </c>
      <c r="AT16" s="27">
        <f>'DANH MUC HUYEN'!AU240</f>
        <v>0</v>
      </c>
      <c r="AU16" s="27">
        <f>'DANH MUC HUYEN'!AV240</f>
        <v>0</v>
      </c>
      <c r="AV16" s="27">
        <f>'DANH MUC HUYEN'!AW240</f>
        <v>0</v>
      </c>
      <c r="AW16" s="27">
        <f>'DANH MUC HUYEN'!AX240</f>
        <v>0</v>
      </c>
      <c r="AX16" s="27">
        <f>'DANH MUC HUYEN'!AY240</f>
        <v>0</v>
      </c>
      <c r="AY16" s="27">
        <f>'DANH MUC HUYEN'!AZ240</f>
        <v>0</v>
      </c>
      <c r="AZ16" s="27">
        <f>'DANH MUC HUYEN'!BA240</f>
        <v>0</v>
      </c>
      <c r="BA16" s="27">
        <f>'DANH MUC HUYEN'!BB240</f>
        <v>0</v>
      </c>
      <c r="BB16" s="27">
        <f>'DANH MUC HUYEN'!BC240</f>
        <v>0</v>
      </c>
      <c r="BC16" s="27">
        <f>'DANH MUC HUYEN'!BD240</f>
        <v>0</v>
      </c>
      <c r="BD16" s="27">
        <f>'DANH MUC HUYEN'!BE240</f>
        <v>24.7</v>
      </c>
      <c r="BE16" s="27">
        <f>'DANH MUC HUYEN'!BF240</f>
        <v>0</v>
      </c>
      <c r="BF16" s="27">
        <f>'DANH MUC HUYEN'!BG240</f>
        <v>0</v>
      </c>
      <c r="BG16" s="27">
        <f>'DANH MUC HUYEN'!BH240</f>
        <v>0</v>
      </c>
      <c r="BH16" s="27"/>
      <c r="BI16" s="27"/>
      <c r="BJ16" s="27"/>
      <c r="BK16" s="27"/>
    </row>
    <row r="17" spans="1:63" x14ac:dyDescent="0.35">
      <c r="A17" s="27" t="str">
        <f>'DANH MUC HUYEN'!A266</f>
        <v>XIV</v>
      </c>
      <c r="B17" s="27" t="str">
        <f>'DANH MUC HUYEN'!B266</f>
        <v>Đất phát triển hạ tầng cấp quốc gia, cấp tỉnh, cấp huyện, cấp xã</v>
      </c>
      <c r="C17" s="27" t="str">
        <f>'DANH MUC HUYEN'!C266</f>
        <v>DHT</v>
      </c>
      <c r="D17" s="27">
        <f>'DANH MUC HUYEN'!D266</f>
        <v>1444.4900000000002</v>
      </c>
      <c r="E17" s="27">
        <f>'DANH MUC HUYEN'!E266</f>
        <v>364.61</v>
      </c>
      <c r="F17" s="33">
        <f>'DANH MUC HUYEN'!F266</f>
        <v>1079.8800000000001</v>
      </c>
      <c r="G17" s="27">
        <f>'DANH MUC HUYEN'!G266</f>
        <v>449.25000000000023</v>
      </c>
      <c r="H17" s="27">
        <f>'DANH MUC HUYEN'!H266</f>
        <v>152.09</v>
      </c>
      <c r="I17" s="27">
        <f>'DANH MUC HUYEN'!I266</f>
        <v>0</v>
      </c>
      <c r="J17" s="27">
        <f>'DANH MUC HUYEN'!J266</f>
        <v>478.54000000000008</v>
      </c>
      <c r="K17" s="27"/>
      <c r="L17" s="27"/>
      <c r="M17" s="27"/>
      <c r="N17" s="27"/>
      <c r="O17" s="28">
        <f>'DANH MUC HUYEN'!P266</f>
        <v>150.29</v>
      </c>
      <c r="P17" s="28">
        <f>'DANH MUC HUYEN'!Q266</f>
        <v>0</v>
      </c>
      <c r="Q17" s="27">
        <f>'DANH MUC HUYEN'!R266</f>
        <v>0</v>
      </c>
      <c r="R17" s="27">
        <f>'DANH MUC HUYEN'!S266</f>
        <v>0</v>
      </c>
      <c r="S17" s="27">
        <f>'DANH MUC HUYEN'!T266</f>
        <v>0</v>
      </c>
      <c r="T17" s="27">
        <f>'DANH MUC HUYEN'!U266</f>
        <v>0</v>
      </c>
      <c r="U17" s="27">
        <f>'DANH MUC HUYEN'!V266</f>
        <v>0.14000000000000001</v>
      </c>
      <c r="V17" s="27">
        <f>'DANH MUC HUYEN'!W266</f>
        <v>0</v>
      </c>
      <c r="W17" s="27">
        <f>'DANH MUC HUYEN'!X266</f>
        <v>38.379999999999995</v>
      </c>
      <c r="X17" s="27">
        <f>'DANH MUC HUYEN'!Y266</f>
        <v>3.16</v>
      </c>
      <c r="Y17" s="27">
        <f>'DANH MUC HUYEN'!Z266</f>
        <v>116.87</v>
      </c>
      <c r="Z17" s="27">
        <f>'DANH MUC HUYEN'!AA266</f>
        <v>34.759999999999991</v>
      </c>
      <c r="AA17" s="27">
        <f>'DANH MUC HUYEN'!AB266</f>
        <v>7.5200000000000014</v>
      </c>
      <c r="AB17" s="27">
        <f>'DANH MUC HUYEN'!AC266</f>
        <v>0</v>
      </c>
      <c r="AC17" s="27">
        <f>'DANH MUC HUYEN'!AD266</f>
        <v>6.03</v>
      </c>
      <c r="AD17" s="27">
        <f>'DANH MUC HUYEN'!AE266</f>
        <v>32.78</v>
      </c>
      <c r="AE17" s="27">
        <f>'DANH MUC HUYEN'!AF266</f>
        <v>6.64</v>
      </c>
      <c r="AF17" s="27">
        <f>'DANH MUC HUYEN'!AG266</f>
        <v>0.87</v>
      </c>
      <c r="AG17" s="27">
        <f>'DANH MUC HUYEN'!AH266</f>
        <v>0.06</v>
      </c>
      <c r="AH17" s="27">
        <f>'DANH MUC HUYEN'!AI266</f>
        <v>0</v>
      </c>
      <c r="AI17" s="27">
        <f>'DANH MUC HUYEN'!AJ266</f>
        <v>0</v>
      </c>
      <c r="AJ17" s="27">
        <f>'DANH MUC HUYEN'!AK266</f>
        <v>0.1</v>
      </c>
      <c r="AK17" s="27">
        <f>'DANH MUC HUYEN'!AL266</f>
        <v>0</v>
      </c>
      <c r="AL17" s="27">
        <f>'DANH MUC HUYEN'!AM266</f>
        <v>0.16</v>
      </c>
      <c r="AM17" s="27">
        <f>'DANH MUC HUYEN'!AN266</f>
        <v>0.97</v>
      </c>
      <c r="AN17" s="27">
        <f>'DANH MUC HUYEN'!AO266</f>
        <v>1.94</v>
      </c>
      <c r="AO17" s="27">
        <f>'DANH MUC HUYEN'!AP266</f>
        <v>0</v>
      </c>
      <c r="AP17" s="27">
        <f>'DANH MUC HUYEN'!AQ266</f>
        <v>18.100000000000001</v>
      </c>
      <c r="AQ17" s="27">
        <f>'DANH MUC HUYEN'!AR266</f>
        <v>9.1399999999999988</v>
      </c>
      <c r="AR17" s="27">
        <f>'DANH MUC HUYEN'!AS266</f>
        <v>0</v>
      </c>
      <c r="AS17" s="27">
        <f>'DANH MUC HUYEN'!AT266</f>
        <v>0</v>
      </c>
      <c r="AT17" s="27">
        <f>'DANH MUC HUYEN'!AU266</f>
        <v>0</v>
      </c>
      <c r="AU17" s="27">
        <f>'DANH MUC HUYEN'!AV266</f>
        <v>0</v>
      </c>
      <c r="AV17" s="27">
        <f>'DANH MUC HUYEN'!AW266</f>
        <v>0.22000000000000003</v>
      </c>
      <c r="AW17" s="27">
        <f>'DANH MUC HUYEN'!AX266</f>
        <v>0</v>
      </c>
      <c r="AX17" s="27">
        <f>'DANH MUC HUYEN'!AY266</f>
        <v>0</v>
      </c>
      <c r="AY17" s="27">
        <f>'DANH MUC HUYEN'!AZ266</f>
        <v>0</v>
      </c>
      <c r="AZ17" s="27">
        <f>'DANH MUC HUYEN'!BA266</f>
        <v>0</v>
      </c>
      <c r="BA17" s="27">
        <f>'DANH MUC HUYEN'!BB266</f>
        <v>0.63</v>
      </c>
      <c r="BB17" s="27">
        <f>'DANH MUC HUYEN'!BC266</f>
        <v>38.89</v>
      </c>
      <c r="BC17" s="27">
        <f>'DANH MUC HUYEN'!BD266</f>
        <v>47.089999999999996</v>
      </c>
      <c r="BD17" s="27">
        <f>'DANH MUC HUYEN'!BE266</f>
        <v>120.23999999999997</v>
      </c>
      <c r="BE17" s="27">
        <f>'DANH MUC HUYEN'!BF266</f>
        <v>0.9</v>
      </c>
      <c r="BF17" s="27">
        <f>'DANH MUC HUYEN'!BG266</f>
        <v>0</v>
      </c>
      <c r="BG17" s="27">
        <f>'DANH MUC HUYEN'!BH266</f>
        <v>0</v>
      </c>
      <c r="BH17" s="27"/>
      <c r="BI17" s="27"/>
      <c r="BJ17" s="27"/>
      <c r="BK17" s="27"/>
    </row>
    <row r="18" spans="1:63" x14ac:dyDescent="0.35">
      <c r="A18" s="27" t="str">
        <f>'DANH MUC HUYEN'!A267</f>
        <v>XIV.1</v>
      </c>
      <c r="B18" s="27" t="str">
        <f>'DANH MUC HUYEN'!B267</f>
        <v>Đất giao thông</v>
      </c>
      <c r="C18" s="27" t="str">
        <f>'DANH MUC HUYEN'!C267</f>
        <v>DGT</v>
      </c>
      <c r="D18" s="27">
        <f>'DANH MUC HUYEN'!D267</f>
        <v>668.99000000000046</v>
      </c>
      <c r="E18" s="27">
        <f>'DANH MUC HUYEN'!E267</f>
        <v>139.60999999999999</v>
      </c>
      <c r="F18" s="33">
        <f>'DANH MUC HUYEN'!F267</f>
        <v>529.38000000000022</v>
      </c>
      <c r="G18" s="27">
        <f>'DANH MUC HUYEN'!G267</f>
        <v>270.01000000000016</v>
      </c>
      <c r="H18" s="27">
        <f>'DANH MUC HUYEN'!H267</f>
        <v>3.5</v>
      </c>
      <c r="I18" s="27">
        <f>'DANH MUC HUYEN'!I267</f>
        <v>0</v>
      </c>
      <c r="J18" s="27">
        <f>'DANH MUC HUYEN'!J267</f>
        <v>255.87</v>
      </c>
      <c r="K18" s="27"/>
      <c r="L18" s="27"/>
      <c r="M18" s="27"/>
      <c r="N18" s="27"/>
      <c r="O18" s="28">
        <f>'DANH MUC HUYEN'!P267</f>
        <v>1.7</v>
      </c>
      <c r="P18" s="28">
        <f>'DANH MUC HUYEN'!Q267</f>
        <v>0</v>
      </c>
      <c r="Q18" s="27">
        <f>'DANH MUC HUYEN'!R267</f>
        <v>0</v>
      </c>
      <c r="R18" s="27">
        <f>'DANH MUC HUYEN'!S267</f>
        <v>0</v>
      </c>
      <c r="S18" s="27">
        <f>'DANH MUC HUYEN'!T267</f>
        <v>0</v>
      </c>
      <c r="T18" s="27">
        <f>'DANH MUC HUYEN'!U267</f>
        <v>0</v>
      </c>
      <c r="U18" s="27">
        <f>'DANH MUC HUYEN'!V267</f>
        <v>0</v>
      </c>
      <c r="V18" s="27">
        <f>'DANH MUC HUYEN'!W267</f>
        <v>0</v>
      </c>
      <c r="W18" s="27">
        <f>'DANH MUC HUYEN'!X267</f>
        <v>23.5</v>
      </c>
      <c r="X18" s="27">
        <f>'DANH MUC HUYEN'!Y267</f>
        <v>0</v>
      </c>
      <c r="Y18" s="27">
        <f>'DANH MUC HUYEN'!Z267</f>
        <v>63.930000000000021</v>
      </c>
      <c r="Z18" s="27">
        <f>'DANH MUC HUYEN'!AA267</f>
        <v>29.529999999999998</v>
      </c>
      <c r="AA18" s="27">
        <f>'DANH MUC HUYEN'!AB267</f>
        <v>3.0000000000000004</v>
      </c>
      <c r="AB18" s="27">
        <f>'DANH MUC HUYEN'!AC267</f>
        <v>0</v>
      </c>
      <c r="AC18" s="27">
        <f>'DANH MUC HUYEN'!AD267</f>
        <v>3.1</v>
      </c>
      <c r="AD18" s="27">
        <f>'DANH MUC HUYEN'!AE267</f>
        <v>27.61</v>
      </c>
      <c r="AE18" s="27">
        <f>'DANH MUC HUYEN'!AF267</f>
        <v>6.64</v>
      </c>
      <c r="AF18" s="27">
        <f>'DANH MUC HUYEN'!AG267</f>
        <v>0</v>
      </c>
      <c r="AG18" s="27">
        <f>'DANH MUC HUYEN'!AH267</f>
        <v>0</v>
      </c>
      <c r="AH18" s="27">
        <f>'DANH MUC HUYEN'!AI267</f>
        <v>0</v>
      </c>
      <c r="AI18" s="27">
        <f>'DANH MUC HUYEN'!AJ267</f>
        <v>0</v>
      </c>
      <c r="AJ18" s="27">
        <f>'DANH MUC HUYEN'!AK267</f>
        <v>0</v>
      </c>
      <c r="AK18" s="27">
        <f>'DANH MUC HUYEN'!AL267</f>
        <v>0</v>
      </c>
      <c r="AL18" s="27">
        <f>'DANH MUC HUYEN'!AM267</f>
        <v>0</v>
      </c>
      <c r="AM18" s="27">
        <f>'DANH MUC HUYEN'!AN267</f>
        <v>0.95</v>
      </c>
      <c r="AN18" s="27">
        <f>'DANH MUC HUYEN'!AO267</f>
        <v>0</v>
      </c>
      <c r="AO18" s="27">
        <f>'DANH MUC HUYEN'!AP267</f>
        <v>0</v>
      </c>
      <c r="AP18" s="27">
        <f>'DANH MUC HUYEN'!AQ267</f>
        <v>0</v>
      </c>
      <c r="AQ18" s="27">
        <f>'DANH MUC HUYEN'!AR267</f>
        <v>7.8599999999999994</v>
      </c>
      <c r="AR18" s="27">
        <f>'DANH MUC HUYEN'!AS267</f>
        <v>0</v>
      </c>
      <c r="AS18" s="27">
        <f>'DANH MUC HUYEN'!AT267</f>
        <v>0</v>
      </c>
      <c r="AT18" s="27">
        <f>'DANH MUC HUYEN'!AU267</f>
        <v>0</v>
      </c>
      <c r="AU18" s="27">
        <f>'DANH MUC HUYEN'!AV267</f>
        <v>0</v>
      </c>
      <c r="AV18" s="27">
        <f>'DANH MUC HUYEN'!AW267</f>
        <v>0</v>
      </c>
      <c r="AW18" s="27">
        <f>'DANH MUC HUYEN'!AX267</f>
        <v>0</v>
      </c>
      <c r="AX18" s="27">
        <f>'DANH MUC HUYEN'!AY267</f>
        <v>0</v>
      </c>
      <c r="AY18" s="27">
        <f>'DANH MUC HUYEN'!AZ267</f>
        <v>0</v>
      </c>
      <c r="AZ18" s="27">
        <f>'DANH MUC HUYEN'!BA267</f>
        <v>0</v>
      </c>
      <c r="BA18" s="27">
        <f>'DANH MUC HUYEN'!BB267</f>
        <v>0.43000000000000005</v>
      </c>
      <c r="BB18" s="27">
        <f>'DANH MUC HUYEN'!BC267</f>
        <v>5.2</v>
      </c>
      <c r="BC18" s="27">
        <f>'DANH MUC HUYEN'!BD267</f>
        <v>21.389999999999997</v>
      </c>
      <c r="BD18" s="27">
        <f>'DANH MUC HUYEN'!BE267</f>
        <v>61.929999999999993</v>
      </c>
      <c r="BE18" s="27">
        <f>'DANH MUC HUYEN'!BF267</f>
        <v>0.8</v>
      </c>
      <c r="BF18" s="27">
        <f>'DANH MUC HUYEN'!BG267</f>
        <v>0</v>
      </c>
      <c r="BG18" s="27">
        <f>'DANH MUC HUYEN'!BH267</f>
        <v>0</v>
      </c>
      <c r="BH18" s="27"/>
      <c r="BI18" s="27"/>
      <c r="BJ18" s="27"/>
      <c r="BK18" s="27"/>
    </row>
    <row r="19" spans="1:63" x14ac:dyDescent="0.35">
      <c r="A19" s="27" t="str">
        <f>'DANH MUC HUYEN'!A439</f>
        <v>XIV.2</v>
      </c>
      <c r="B19" s="27" t="str">
        <f>'DANH MUC HUYEN'!B439</f>
        <v>Đất thủy lợi</v>
      </c>
      <c r="C19" s="27" t="str">
        <f>'DANH MUC HUYEN'!C439</f>
        <v>DTL</v>
      </c>
      <c r="D19" s="27">
        <f>'DANH MUC HUYEN'!D439</f>
        <v>576.1099999999999</v>
      </c>
      <c r="E19" s="27">
        <f>'DANH MUC HUYEN'!E439</f>
        <v>154.21</v>
      </c>
      <c r="F19" s="33">
        <f>'DANH MUC HUYEN'!F439</f>
        <v>421.90000000000003</v>
      </c>
      <c r="G19" s="27">
        <f>'DANH MUC HUYEN'!G439</f>
        <v>113.79</v>
      </c>
      <c r="H19" s="27">
        <f>'DANH MUC HUYEN'!H439</f>
        <v>144.76</v>
      </c>
      <c r="I19" s="27">
        <f>'DANH MUC HUYEN'!I439</f>
        <v>0</v>
      </c>
      <c r="J19" s="27">
        <f>'DANH MUC HUYEN'!J439</f>
        <v>163.35000000000002</v>
      </c>
      <c r="K19" s="27"/>
      <c r="L19" s="27"/>
      <c r="M19" s="27"/>
      <c r="N19" s="27"/>
      <c r="O19" s="28">
        <f>'DANH MUC HUYEN'!P439</f>
        <v>144.76</v>
      </c>
      <c r="P19" s="28">
        <f>'DANH MUC HUYEN'!Q439</f>
        <v>0</v>
      </c>
      <c r="Q19" s="27">
        <f>'DANH MUC HUYEN'!R439</f>
        <v>0</v>
      </c>
      <c r="R19" s="27">
        <f>'DANH MUC HUYEN'!S439</f>
        <v>0</v>
      </c>
      <c r="S19" s="27">
        <f>'DANH MUC HUYEN'!T439</f>
        <v>0</v>
      </c>
      <c r="T19" s="27">
        <f>'DANH MUC HUYEN'!U439</f>
        <v>0</v>
      </c>
      <c r="U19" s="27">
        <f>'DANH MUC HUYEN'!V439</f>
        <v>0</v>
      </c>
      <c r="V19" s="27">
        <f>'DANH MUC HUYEN'!W439</f>
        <v>0</v>
      </c>
      <c r="W19" s="27">
        <f>'DANH MUC HUYEN'!X439</f>
        <v>0.17</v>
      </c>
      <c r="X19" s="27">
        <f>'DANH MUC HUYEN'!Y439</f>
        <v>0</v>
      </c>
      <c r="Y19" s="27">
        <f>'DANH MUC HUYEN'!Z439</f>
        <v>38.379999999999995</v>
      </c>
      <c r="Z19" s="27">
        <f>'DANH MUC HUYEN'!AA439</f>
        <v>0.06</v>
      </c>
      <c r="AA19" s="27">
        <f>'DANH MUC HUYEN'!AB439</f>
        <v>3.9</v>
      </c>
      <c r="AB19" s="27">
        <f>'DANH MUC HUYEN'!AC439</f>
        <v>0</v>
      </c>
      <c r="AC19" s="27">
        <f>'DANH MUC HUYEN'!AD439</f>
        <v>2.93</v>
      </c>
      <c r="AD19" s="27">
        <f>'DANH MUC HUYEN'!AE439</f>
        <v>4.0999999999999996</v>
      </c>
      <c r="AE19" s="27">
        <f>'DANH MUC HUYEN'!AF439</f>
        <v>0</v>
      </c>
      <c r="AF19" s="27">
        <f>'DANH MUC HUYEN'!AG439</f>
        <v>0</v>
      </c>
      <c r="AG19" s="27">
        <f>'DANH MUC HUYEN'!AH439</f>
        <v>0.06</v>
      </c>
      <c r="AH19" s="27">
        <f>'DANH MUC HUYEN'!AI439</f>
        <v>0</v>
      </c>
      <c r="AI19" s="27">
        <f>'DANH MUC HUYEN'!AJ439</f>
        <v>0</v>
      </c>
      <c r="AJ19" s="27">
        <f>'DANH MUC HUYEN'!AK439</f>
        <v>0</v>
      </c>
      <c r="AK19" s="27">
        <f>'DANH MUC HUYEN'!AL439</f>
        <v>0</v>
      </c>
      <c r="AL19" s="27">
        <f>'DANH MUC HUYEN'!AM439</f>
        <v>0</v>
      </c>
      <c r="AM19" s="27">
        <f>'DANH MUC HUYEN'!AN439</f>
        <v>0</v>
      </c>
      <c r="AN19" s="27">
        <f>'DANH MUC HUYEN'!AO439</f>
        <v>0</v>
      </c>
      <c r="AO19" s="27">
        <f>'DANH MUC HUYEN'!AP439</f>
        <v>0</v>
      </c>
      <c r="AP19" s="27">
        <f>'DANH MUC HUYEN'!AQ439</f>
        <v>13.35</v>
      </c>
      <c r="AQ19" s="27">
        <f>'DANH MUC HUYEN'!AR439</f>
        <v>0</v>
      </c>
      <c r="AR19" s="27">
        <f>'DANH MUC HUYEN'!AS439</f>
        <v>0</v>
      </c>
      <c r="AS19" s="27">
        <f>'DANH MUC HUYEN'!AT439</f>
        <v>0</v>
      </c>
      <c r="AT19" s="27">
        <f>'DANH MUC HUYEN'!AU439</f>
        <v>0</v>
      </c>
      <c r="AU19" s="27">
        <f>'DANH MUC HUYEN'!AV439</f>
        <v>0</v>
      </c>
      <c r="AV19" s="27">
        <f>'DANH MUC HUYEN'!AW439</f>
        <v>0</v>
      </c>
      <c r="AW19" s="27">
        <f>'DANH MUC HUYEN'!AX439</f>
        <v>0</v>
      </c>
      <c r="AX19" s="27">
        <f>'DANH MUC HUYEN'!AY439</f>
        <v>0</v>
      </c>
      <c r="AY19" s="27">
        <f>'DANH MUC HUYEN'!AZ439</f>
        <v>0</v>
      </c>
      <c r="AZ19" s="27">
        <f>'DANH MUC HUYEN'!BA439</f>
        <v>0</v>
      </c>
      <c r="BA19" s="27">
        <f>'DANH MUC HUYEN'!BB439</f>
        <v>0.1</v>
      </c>
      <c r="BB19" s="27">
        <f>'DANH MUC HUYEN'!BC439</f>
        <v>33.4</v>
      </c>
      <c r="BC19" s="27">
        <f>'DANH MUC HUYEN'!BD439</f>
        <v>24.43</v>
      </c>
      <c r="BD19" s="27">
        <f>'DANH MUC HUYEN'!BE439</f>
        <v>49.519999999999996</v>
      </c>
      <c r="BE19" s="27">
        <f>'DANH MUC HUYEN'!BF439</f>
        <v>0</v>
      </c>
      <c r="BF19" s="27">
        <f>'DANH MUC HUYEN'!BG439</f>
        <v>0</v>
      </c>
      <c r="BG19" s="27">
        <f>'DANH MUC HUYEN'!BH439</f>
        <v>0</v>
      </c>
      <c r="BH19" s="27"/>
      <c r="BI19" s="27"/>
      <c r="BJ19" s="27"/>
      <c r="BK19" s="27"/>
    </row>
    <row r="20" spans="1:63" x14ac:dyDescent="0.35">
      <c r="A20" s="27" t="str">
        <f>'DANH MUC HUYEN'!A493</f>
        <v>XIV.3</v>
      </c>
      <c r="B20" s="27" t="str">
        <f>'DANH MUC HUYEN'!B493</f>
        <v>Đất xây dựng cơ sở văn hóa</v>
      </c>
      <c r="C20" s="27" t="str">
        <f>'DANH MUC HUYEN'!C493</f>
        <v>DVH</v>
      </c>
      <c r="D20" s="27">
        <f>'DANH MUC HUYEN'!D493</f>
        <v>0.77</v>
      </c>
      <c r="E20" s="27">
        <f>'DANH MUC HUYEN'!E493</f>
        <v>0</v>
      </c>
      <c r="F20" s="33">
        <f>'DANH MUC HUYEN'!F493</f>
        <v>0.77</v>
      </c>
      <c r="G20" s="27">
        <f>'DANH MUC HUYEN'!G493</f>
        <v>0</v>
      </c>
      <c r="H20" s="27">
        <f>'DANH MUC HUYEN'!H493</f>
        <v>0</v>
      </c>
      <c r="I20" s="27">
        <f>'DANH MUC HUYEN'!I493</f>
        <v>0</v>
      </c>
      <c r="J20" s="27">
        <f>'DANH MUC HUYEN'!J493</f>
        <v>0.77</v>
      </c>
      <c r="K20" s="27"/>
      <c r="L20" s="27"/>
      <c r="M20" s="27"/>
      <c r="N20" s="27"/>
      <c r="O20" s="28">
        <f>'DANH MUC HUYEN'!P493</f>
        <v>0</v>
      </c>
      <c r="P20" s="28">
        <f>'DANH MUC HUYEN'!Q493</f>
        <v>0</v>
      </c>
      <c r="Q20" s="27">
        <f>'DANH MUC HUYEN'!R493</f>
        <v>0</v>
      </c>
      <c r="R20" s="27">
        <f>'DANH MUC HUYEN'!S493</f>
        <v>0</v>
      </c>
      <c r="S20" s="27">
        <f>'DANH MUC HUYEN'!T493</f>
        <v>0</v>
      </c>
      <c r="T20" s="27">
        <f>'DANH MUC HUYEN'!U493</f>
        <v>0</v>
      </c>
      <c r="U20" s="27">
        <f>'DANH MUC HUYEN'!V493</f>
        <v>0</v>
      </c>
      <c r="V20" s="27">
        <f>'DANH MUC HUYEN'!W493</f>
        <v>0</v>
      </c>
      <c r="W20" s="27">
        <f>'DANH MUC HUYEN'!X493</f>
        <v>0</v>
      </c>
      <c r="X20" s="27">
        <f>'DANH MUC HUYEN'!Y493</f>
        <v>0</v>
      </c>
      <c r="Y20" s="27">
        <f>'DANH MUC HUYEN'!Z493</f>
        <v>0.35</v>
      </c>
      <c r="Z20" s="27">
        <f>'DANH MUC HUYEN'!AA493</f>
        <v>0</v>
      </c>
      <c r="AA20" s="27">
        <f>'DANH MUC HUYEN'!AB493</f>
        <v>0</v>
      </c>
      <c r="AB20" s="27">
        <f>'DANH MUC HUYEN'!AC493</f>
        <v>0</v>
      </c>
      <c r="AC20" s="27">
        <f>'DANH MUC HUYEN'!AD493</f>
        <v>0</v>
      </c>
      <c r="AD20" s="27">
        <f>'DANH MUC HUYEN'!AE493</f>
        <v>0.06</v>
      </c>
      <c r="AE20" s="27">
        <f>'DANH MUC HUYEN'!AF493</f>
        <v>0</v>
      </c>
      <c r="AF20" s="27">
        <f>'DANH MUC HUYEN'!AG493</f>
        <v>0</v>
      </c>
      <c r="AG20" s="27">
        <f>'DANH MUC HUYEN'!AH493</f>
        <v>0</v>
      </c>
      <c r="AH20" s="27">
        <f>'DANH MUC HUYEN'!AI493</f>
        <v>0</v>
      </c>
      <c r="AI20" s="27">
        <f>'DANH MUC HUYEN'!AJ493</f>
        <v>0</v>
      </c>
      <c r="AJ20" s="27">
        <f>'DANH MUC HUYEN'!AK493</f>
        <v>0</v>
      </c>
      <c r="AK20" s="27">
        <f>'DANH MUC HUYEN'!AL493</f>
        <v>0</v>
      </c>
      <c r="AL20" s="27">
        <f>'DANH MUC HUYEN'!AM493</f>
        <v>0</v>
      </c>
      <c r="AM20" s="27">
        <f>'DANH MUC HUYEN'!AN493</f>
        <v>0</v>
      </c>
      <c r="AN20" s="27">
        <f>'DANH MUC HUYEN'!AO493</f>
        <v>0</v>
      </c>
      <c r="AO20" s="27">
        <f>'DANH MUC HUYEN'!AP493</f>
        <v>0</v>
      </c>
      <c r="AP20" s="27">
        <f>'DANH MUC HUYEN'!AQ493</f>
        <v>0</v>
      </c>
      <c r="AQ20" s="27">
        <f>'DANH MUC HUYEN'!AR493</f>
        <v>0</v>
      </c>
      <c r="AR20" s="27">
        <f>'DANH MUC HUYEN'!AS493</f>
        <v>0</v>
      </c>
      <c r="AS20" s="27">
        <f>'DANH MUC HUYEN'!AT493</f>
        <v>0</v>
      </c>
      <c r="AT20" s="27">
        <f>'DANH MUC HUYEN'!AU493</f>
        <v>0</v>
      </c>
      <c r="AU20" s="27">
        <f>'DANH MUC HUYEN'!AV493</f>
        <v>0</v>
      </c>
      <c r="AV20" s="27">
        <f>'DANH MUC HUYEN'!AW493</f>
        <v>0</v>
      </c>
      <c r="AW20" s="27">
        <f>'DANH MUC HUYEN'!AX493</f>
        <v>0</v>
      </c>
      <c r="AX20" s="27">
        <f>'DANH MUC HUYEN'!AY493</f>
        <v>0</v>
      </c>
      <c r="AY20" s="27">
        <f>'DANH MUC HUYEN'!AZ493</f>
        <v>0</v>
      </c>
      <c r="AZ20" s="27">
        <f>'DANH MUC HUYEN'!BA493</f>
        <v>0</v>
      </c>
      <c r="BA20" s="27">
        <f>'DANH MUC HUYEN'!BB493</f>
        <v>0</v>
      </c>
      <c r="BB20" s="27">
        <f>'DANH MUC HUYEN'!BC493</f>
        <v>0</v>
      </c>
      <c r="BC20" s="27">
        <f>'DANH MUC HUYEN'!BD493</f>
        <v>0</v>
      </c>
      <c r="BD20" s="27">
        <f>'DANH MUC HUYEN'!BE493</f>
        <v>0.36</v>
      </c>
      <c r="BE20" s="27">
        <f>'DANH MUC HUYEN'!BF493</f>
        <v>0</v>
      </c>
      <c r="BF20" s="27">
        <f>'DANH MUC HUYEN'!BG493</f>
        <v>0</v>
      </c>
      <c r="BG20" s="27">
        <f>'DANH MUC HUYEN'!BH493</f>
        <v>0</v>
      </c>
      <c r="BH20" s="27"/>
      <c r="BI20" s="27"/>
      <c r="BJ20" s="27"/>
      <c r="BK20" s="27"/>
    </row>
    <row r="21" spans="1:63" x14ac:dyDescent="0.35">
      <c r="A21" s="27" t="str">
        <f>'DANH MUC HUYEN'!A498</f>
        <v>XIV.4</v>
      </c>
      <c r="B21" s="27" t="str">
        <f>'DANH MUC HUYEN'!B498</f>
        <v>Đất xây dựng cơ sở y tế</v>
      </c>
      <c r="C21" s="27" t="str">
        <f>'DANH MUC HUYEN'!C498</f>
        <v>DYT</v>
      </c>
      <c r="D21" s="27">
        <f>'DANH MUC HUYEN'!D498</f>
        <v>0.63</v>
      </c>
      <c r="E21" s="27">
        <f>'DANH MUC HUYEN'!E498</f>
        <v>0</v>
      </c>
      <c r="F21" s="33">
        <f>'DANH MUC HUYEN'!F498</f>
        <v>0.63</v>
      </c>
      <c r="G21" s="27">
        <f>'DANH MUC HUYEN'!G498</f>
        <v>0</v>
      </c>
      <c r="H21" s="27">
        <f>'DANH MUC HUYEN'!H498</f>
        <v>0</v>
      </c>
      <c r="I21" s="27">
        <f>'DANH MUC HUYEN'!I498</f>
        <v>0</v>
      </c>
      <c r="J21" s="27">
        <f>'DANH MUC HUYEN'!J498</f>
        <v>0.63</v>
      </c>
      <c r="K21" s="27"/>
      <c r="L21" s="27"/>
      <c r="M21" s="27"/>
      <c r="N21" s="27"/>
      <c r="O21" s="28">
        <f>'DANH MUC HUYEN'!P498</f>
        <v>0</v>
      </c>
      <c r="P21" s="28">
        <f>'DANH MUC HUYEN'!Q498</f>
        <v>0</v>
      </c>
      <c r="Q21" s="27">
        <f>'DANH MUC HUYEN'!R498</f>
        <v>0</v>
      </c>
      <c r="R21" s="27">
        <f>'DANH MUC HUYEN'!S498</f>
        <v>0</v>
      </c>
      <c r="S21" s="27">
        <f>'DANH MUC HUYEN'!T498</f>
        <v>0</v>
      </c>
      <c r="T21" s="27">
        <f>'DANH MUC HUYEN'!U498</f>
        <v>0</v>
      </c>
      <c r="U21" s="27">
        <f>'DANH MUC HUYEN'!V498</f>
        <v>0</v>
      </c>
      <c r="V21" s="27">
        <f>'DANH MUC HUYEN'!W498</f>
        <v>0</v>
      </c>
      <c r="W21" s="27">
        <f>'DANH MUC HUYEN'!X498</f>
        <v>0</v>
      </c>
      <c r="X21" s="27">
        <f>'DANH MUC HUYEN'!Y498</f>
        <v>0</v>
      </c>
      <c r="Y21" s="27">
        <f>'DANH MUC HUYEN'!Z498</f>
        <v>0.42</v>
      </c>
      <c r="Z21" s="27">
        <f>'DANH MUC HUYEN'!AA498</f>
        <v>0</v>
      </c>
      <c r="AA21" s="27">
        <f>'DANH MUC HUYEN'!AB498</f>
        <v>0</v>
      </c>
      <c r="AB21" s="27">
        <f>'DANH MUC HUYEN'!AC498</f>
        <v>0</v>
      </c>
      <c r="AC21" s="27">
        <f>'DANH MUC HUYEN'!AD498</f>
        <v>0</v>
      </c>
      <c r="AD21" s="27">
        <f>'DANH MUC HUYEN'!AE498</f>
        <v>0</v>
      </c>
      <c r="AE21" s="27">
        <f>'DANH MUC HUYEN'!AF498</f>
        <v>0</v>
      </c>
      <c r="AF21" s="27">
        <f>'DANH MUC HUYEN'!AG498</f>
        <v>0</v>
      </c>
      <c r="AG21" s="27">
        <f>'DANH MUC HUYEN'!AH498</f>
        <v>0</v>
      </c>
      <c r="AH21" s="27">
        <f>'DANH MUC HUYEN'!AI498</f>
        <v>0</v>
      </c>
      <c r="AI21" s="27">
        <f>'DANH MUC HUYEN'!AJ498</f>
        <v>0</v>
      </c>
      <c r="AJ21" s="27">
        <f>'DANH MUC HUYEN'!AK498</f>
        <v>0</v>
      </c>
      <c r="AK21" s="27">
        <f>'DANH MUC HUYEN'!AL498</f>
        <v>0</v>
      </c>
      <c r="AL21" s="27">
        <f>'DANH MUC HUYEN'!AM498</f>
        <v>0.16</v>
      </c>
      <c r="AM21" s="27">
        <f>'DANH MUC HUYEN'!AN498</f>
        <v>0</v>
      </c>
      <c r="AN21" s="27">
        <f>'DANH MUC HUYEN'!AO498</f>
        <v>0</v>
      </c>
      <c r="AO21" s="27">
        <f>'DANH MUC HUYEN'!AP498</f>
        <v>0</v>
      </c>
      <c r="AP21" s="27">
        <f>'DANH MUC HUYEN'!AQ498</f>
        <v>0.05</v>
      </c>
      <c r="AQ21" s="27">
        <f>'DANH MUC HUYEN'!AR498</f>
        <v>0</v>
      </c>
      <c r="AR21" s="27">
        <f>'DANH MUC HUYEN'!AS498</f>
        <v>0</v>
      </c>
      <c r="AS21" s="27">
        <f>'DANH MUC HUYEN'!AT498</f>
        <v>0</v>
      </c>
      <c r="AT21" s="27">
        <f>'DANH MUC HUYEN'!AU498</f>
        <v>0</v>
      </c>
      <c r="AU21" s="27">
        <f>'DANH MUC HUYEN'!AV498</f>
        <v>0</v>
      </c>
      <c r="AV21" s="27">
        <f>'DANH MUC HUYEN'!AW498</f>
        <v>0</v>
      </c>
      <c r="AW21" s="27">
        <f>'DANH MUC HUYEN'!AX498</f>
        <v>0</v>
      </c>
      <c r="AX21" s="27">
        <f>'DANH MUC HUYEN'!AY498</f>
        <v>0</v>
      </c>
      <c r="AY21" s="27">
        <f>'DANH MUC HUYEN'!AZ498</f>
        <v>0</v>
      </c>
      <c r="AZ21" s="27">
        <f>'DANH MUC HUYEN'!BA498</f>
        <v>0</v>
      </c>
      <c r="BA21" s="27">
        <f>'DANH MUC HUYEN'!BB498</f>
        <v>0</v>
      </c>
      <c r="BB21" s="27">
        <f>'DANH MUC HUYEN'!BC498</f>
        <v>0</v>
      </c>
      <c r="BC21" s="27">
        <f>'DANH MUC HUYEN'!BD498</f>
        <v>0</v>
      </c>
      <c r="BD21" s="27">
        <f>'DANH MUC HUYEN'!BE498</f>
        <v>0</v>
      </c>
      <c r="BE21" s="27">
        <f>'DANH MUC HUYEN'!BF498</f>
        <v>0</v>
      </c>
      <c r="BF21" s="27">
        <f>'DANH MUC HUYEN'!BG498</f>
        <v>0</v>
      </c>
      <c r="BG21" s="27">
        <f>'DANH MUC HUYEN'!BH498</f>
        <v>0</v>
      </c>
      <c r="BH21" s="27"/>
      <c r="BI21" s="27"/>
      <c r="BJ21" s="27"/>
      <c r="BK21" s="27"/>
    </row>
    <row r="22" spans="1:63" x14ac:dyDescent="0.35">
      <c r="A22" s="27" t="str">
        <f>'DANH MUC HUYEN'!A502</f>
        <v>XIV.5</v>
      </c>
      <c r="B22" s="27" t="str">
        <f>'DANH MUC HUYEN'!B502</f>
        <v>Đất xây dựng cơ sở giáo dục và đào tạo</v>
      </c>
      <c r="C22" s="27" t="str">
        <f>'DANH MUC HUYEN'!C502</f>
        <v>DGD</v>
      </c>
      <c r="D22" s="27">
        <f>'DANH MUC HUYEN'!D502</f>
        <v>33.660000000000011</v>
      </c>
      <c r="E22" s="27">
        <f>'DANH MUC HUYEN'!E502</f>
        <v>10.93</v>
      </c>
      <c r="F22" s="33">
        <f>'DANH MUC HUYEN'!F502</f>
        <v>22.730000000000004</v>
      </c>
      <c r="G22" s="27">
        <f>'DANH MUC HUYEN'!G502</f>
        <v>11.43</v>
      </c>
      <c r="H22" s="27">
        <f>'DANH MUC HUYEN'!H502</f>
        <v>0</v>
      </c>
      <c r="I22" s="27">
        <f>'DANH MUC HUYEN'!I502</f>
        <v>0</v>
      </c>
      <c r="J22" s="27">
        <f>'DANH MUC HUYEN'!J502</f>
        <v>11.3</v>
      </c>
      <c r="K22" s="27"/>
      <c r="L22" s="27"/>
      <c r="M22" s="27"/>
      <c r="N22" s="27"/>
      <c r="O22" s="28">
        <f>'DANH MUC HUYEN'!P502</f>
        <v>0</v>
      </c>
      <c r="P22" s="28">
        <f>'DANH MUC HUYEN'!Q502</f>
        <v>0</v>
      </c>
      <c r="Q22" s="27">
        <f>'DANH MUC HUYEN'!R502</f>
        <v>0</v>
      </c>
      <c r="R22" s="27">
        <f>'DANH MUC HUYEN'!S502</f>
        <v>0</v>
      </c>
      <c r="S22" s="27">
        <f>'DANH MUC HUYEN'!T502</f>
        <v>0</v>
      </c>
      <c r="T22" s="27">
        <f>'DANH MUC HUYEN'!U502</f>
        <v>0</v>
      </c>
      <c r="U22" s="27">
        <f>'DANH MUC HUYEN'!V502</f>
        <v>0</v>
      </c>
      <c r="V22" s="27">
        <f>'DANH MUC HUYEN'!W502</f>
        <v>0</v>
      </c>
      <c r="W22" s="27">
        <f>'DANH MUC HUYEN'!X502</f>
        <v>1.5</v>
      </c>
      <c r="X22" s="27">
        <f>'DANH MUC HUYEN'!Y502</f>
        <v>0</v>
      </c>
      <c r="Y22" s="27">
        <f>'DANH MUC HUYEN'!Z502</f>
        <v>4.46</v>
      </c>
      <c r="Z22" s="27">
        <f>'DANH MUC HUYEN'!AA502</f>
        <v>0.92999999999999994</v>
      </c>
      <c r="AA22" s="27">
        <f>'DANH MUC HUYEN'!AB502</f>
        <v>0.03</v>
      </c>
      <c r="AB22" s="27">
        <f>'DANH MUC HUYEN'!AC502</f>
        <v>0</v>
      </c>
      <c r="AC22" s="27">
        <f>'DANH MUC HUYEN'!AD502</f>
        <v>0</v>
      </c>
      <c r="AD22" s="27">
        <f>'DANH MUC HUYEN'!AE502</f>
        <v>0.02</v>
      </c>
      <c r="AE22" s="27">
        <f>'DANH MUC HUYEN'!AF502</f>
        <v>0</v>
      </c>
      <c r="AF22" s="27">
        <f>'DANH MUC HUYEN'!AG502</f>
        <v>0.34</v>
      </c>
      <c r="AG22" s="27">
        <f>'DANH MUC HUYEN'!AH502</f>
        <v>0</v>
      </c>
      <c r="AH22" s="27">
        <f>'DANH MUC HUYEN'!AI502</f>
        <v>0</v>
      </c>
      <c r="AI22" s="27">
        <f>'DANH MUC HUYEN'!AJ502</f>
        <v>0</v>
      </c>
      <c r="AJ22" s="27">
        <f>'DANH MUC HUYEN'!AK502</f>
        <v>0.1</v>
      </c>
      <c r="AK22" s="27">
        <f>'DANH MUC HUYEN'!AL502</f>
        <v>0</v>
      </c>
      <c r="AL22" s="27">
        <f>'DANH MUC HUYEN'!AM502</f>
        <v>0</v>
      </c>
      <c r="AM22" s="27">
        <f>'DANH MUC HUYEN'!AN502</f>
        <v>0</v>
      </c>
      <c r="AN22" s="27">
        <f>'DANH MUC HUYEN'!AO502</f>
        <v>1.39</v>
      </c>
      <c r="AO22" s="27">
        <f>'DANH MUC HUYEN'!AP502</f>
        <v>0</v>
      </c>
      <c r="AP22" s="27">
        <f>'DANH MUC HUYEN'!AQ502</f>
        <v>0</v>
      </c>
      <c r="AQ22" s="27">
        <f>'DANH MUC HUYEN'!AR502</f>
        <v>0</v>
      </c>
      <c r="AR22" s="27">
        <f>'DANH MUC HUYEN'!AS502</f>
        <v>0</v>
      </c>
      <c r="AS22" s="27">
        <f>'DANH MUC HUYEN'!AT502</f>
        <v>0</v>
      </c>
      <c r="AT22" s="27">
        <f>'DANH MUC HUYEN'!AU502</f>
        <v>0</v>
      </c>
      <c r="AU22" s="27">
        <f>'DANH MUC HUYEN'!AV502</f>
        <v>0</v>
      </c>
      <c r="AV22" s="27">
        <f>'DANH MUC HUYEN'!AW502</f>
        <v>0.22000000000000003</v>
      </c>
      <c r="AW22" s="27">
        <f>'DANH MUC HUYEN'!AX502</f>
        <v>0</v>
      </c>
      <c r="AX22" s="27">
        <f>'DANH MUC HUYEN'!AY502</f>
        <v>0</v>
      </c>
      <c r="AY22" s="27">
        <f>'DANH MUC HUYEN'!AZ502</f>
        <v>0</v>
      </c>
      <c r="AZ22" s="27">
        <f>'DANH MUC HUYEN'!BA502</f>
        <v>0</v>
      </c>
      <c r="BA22" s="27">
        <f>'DANH MUC HUYEN'!BB502</f>
        <v>0</v>
      </c>
      <c r="BB22" s="27">
        <f>'DANH MUC HUYEN'!BC502</f>
        <v>0</v>
      </c>
      <c r="BC22" s="27">
        <f>'DANH MUC HUYEN'!BD502</f>
        <v>0</v>
      </c>
      <c r="BD22" s="27">
        <f>'DANH MUC HUYEN'!BE502</f>
        <v>2.31</v>
      </c>
      <c r="BE22" s="27">
        <f>'DANH MUC HUYEN'!BF502</f>
        <v>0</v>
      </c>
      <c r="BF22" s="27">
        <f>'DANH MUC HUYEN'!BG502</f>
        <v>0</v>
      </c>
      <c r="BG22" s="27">
        <f>'DANH MUC HUYEN'!BH502</f>
        <v>0</v>
      </c>
      <c r="BH22" s="27"/>
      <c r="BI22" s="27"/>
      <c r="BJ22" s="27"/>
      <c r="BK22" s="27"/>
    </row>
    <row r="23" spans="1:63" x14ac:dyDescent="0.35">
      <c r="A23" s="27" t="str">
        <f>'DANH MUC HUYEN'!A540</f>
        <v>XIV.6</v>
      </c>
      <c r="B23" s="27" t="str">
        <f>'DANH MUC HUYEN'!B540</f>
        <v>Đất xây dựng cơ sở thể dục thể thao</v>
      </c>
      <c r="C23" s="27" t="str">
        <f>'DANH MUC HUYEN'!C540</f>
        <v>DTT</v>
      </c>
      <c r="D23" s="27">
        <f>'DANH MUC HUYEN'!D540</f>
        <v>7.0500000000000007</v>
      </c>
      <c r="E23" s="27">
        <f>'DANH MUC HUYEN'!E540</f>
        <v>0.6</v>
      </c>
      <c r="F23" s="33">
        <f>'DANH MUC HUYEN'!F540</f>
        <v>6.4499999999999993</v>
      </c>
      <c r="G23" s="27">
        <f>'DANH MUC HUYEN'!G540</f>
        <v>2.14</v>
      </c>
      <c r="H23" s="27">
        <f>'DANH MUC HUYEN'!H540</f>
        <v>0</v>
      </c>
      <c r="I23" s="27">
        <f>'DANH MUC HUYEN'!I540</f>
        <v>0</v>
      </c>
      <c r="J23" s="27">
        <f>'DANH MUC HUYEN'!J540</f>
        <v>4.3099999999999996</v>
      </c>
      <c r="K23" s="27"/>
      <c r="L23" s="27"/>
      <c r="M23" s="27"/>
      <c r="N23" s="27"/>
      <c r="O23" s="28">
        <f>'DANH MUC HUYEN'!P540</f>
        <v>0</v>
      </c>
      <c r="P23" s="28">
        <f>'DANH MUC HUYEN'!Q540</f>
        <v>0</v>
      </c>
      <c r="Q23" s="27">
        <f>'DANH MUC HUYEN'!R540</f>
        <v>0</v>
      </c>
      <c r="R23" s="27">
        <f>'DANH MUC HUYEN'!S540</f>
        <v>0</v>
      </c>
      <c r="S23" s="27">
        <f>'DANH MUC HUYEN'!T540</f>
        <v>0</v>
      </c>
      <c r="T23" s="27">
        <f>'DANH MUC HUYEN'!U540</f>
        <v>0</v>
      </c>
      <c r="U23" s="27">
        <f>'DANH MUC HUYEN'!V540</f>
        <v>0</v>
      </c>
      <c r="V23" s="27">
        <f>'DANH MUC HUYEN'!W540</f>
        <v>0</v>
      </c>
      <c r="W23" s="27">
        <f>'DANH MUC HUYEN'!X540</f>
        <v>0.65</v>
      </c>
      <c r="X23" s="27">
        <f>'DANH MUC HUYEN'!Y540</f>
        <v>0</v>
      </c>
      <c r="Y23" s="27">
        <f>'DANH MUC HUYEN'!Z540</f>
        <v>2.4900000000000002</v>
      </c>
      <c r="Z23" s="27">
        <f>'DANH MUC HUYEN'!AA540</f>
        <v>0</v>
      </c>
      <c r="AA23" s="27">
        <f>'DANH MUC HUYEN'!AB540</f>
        <v>0.27</v>
      </c>
      <c r="AB23" s="27">
        <f>'DANH MUC HUYEN'!AC540</f>
        <v>0</v>
      </c>
      <c r="AC23" s="27">
        <f>'DANH MUC HUYEN'!AD540</f>
        <v>0</v>
      </c>
      <c r="AD23" s="27">
        <f>'DANH MUC HUYEN'!AE540</f>
        <v>0</v>
      </c>
      <c r="AE23" s="27">
        <f>'DANH MUC HUYEN'!AF540</f>
        <v>0</v>
      </c>
      <c r="AF23" s="27">
        <f>'DANH MUC HUYEN'!AG540</f>
        <v>0</v>
      </c>
      <c r="AG23" s="27">
        <f>'DANH MUC HUYEN'!AH540</f>
        <v>0</v>
      </c>
      <c r="AH23" s="27">
        <f>'DANH MUC HUYEN'!AI540</f>
        <v>0</v>
      </c>
      <c r="AI23" s="27">
        <f>'DANH MUC HUYEN'!AJ540</f>
        <v>0</v>
      </c>
      <c r="AJ23" s="27">
        <f>'DANH MUC HUYEN'!AK540</f>
        <v>0</v>
      </c>
      <c r="AK23" s="27">
        <f>'DANH MUC HUYEN'!AL540</f>
        <v>0</v>
      </c>
      <c r="AL23" s="27">
        <f>'DANH MUC HUYEN'!AM540</f>
        <v>0</v>
      </c>
      <c r="AM23" s="27">
        <f>'DANH MUC HUYEN'!AN540</f>
        <v>0</v>
      </c>
      <c r="AN23" s="27">
        <f>'DANH MUC HUYEN'!AO540</f>
        <v>0.55000000000000004</v>
      </c>
      <c r="AO23" s="27">
        <f>'DANH MUC HUYEN'!AP540</f>
        <v>0</v>
      </c>
      <c r="AP23" s="27">
        <f>'DANH MUC HUYEN'!AQ540</f>
        <v>0</v>
      </c>
      <c r="AQ23" s="27">
        <f>'DANH MUC HUYEN'!AR540</f>
        <v>0</v>
      </c>
      <c r="AR23" s="27">
        <f>'DANH MUC HUYEN'!AS540</f>
        <v>0</v>
      </c>
      <c r="AS23" s="27">
        <f>'DANH MUC HUYEN'!AT540</f>
        <v>0</v>
      </c>
      <c r="AT23" s="27">
        <f>'DANH MUC HUYEN'!AU540</f>
        <v>0</v>
      </c>
      <c r="AU23" s="27">
        <f>'DANH MUC HUYEN'!AV540</f>
        <v>0</v>
      </c>
      <c r="AV23" s="27">
        <f>'DANH MUC HUYEN'!AW540</f>
        <v>0</v>
      </c>
      <c r="AW23" s="27">
        <f>'DANH MUC HUYEN'!AX540</f>
        <v>0</v>
      </c>
      <c r="AX23" s="27">
        <f>'DANH MUC HUYEN'!AY540</f>
        <v>0</v>
      </c>
      <c r="AY23" s="27">
        <f>'DANH MUC HUYEN'!AZ540</f>
        <v>0</v>
      </c>
      <c r="AZ23" s="27">
        <f>'DANH MUC HUYEN'!BA540</f>
        <v>0</v>
      </c>
      <c r="BA23" s="27">
        <f>'DANH MUC HUYEN'!BB540</f>
        <v>0</v>
      </c>
      <c r="BB23" s="27">
        <f>'DANH MUC HUYEN'!BC540</f>
        <v>0</v>
      </c>
      <c r="BC23" s="27">
        <f>'DANH MUC HUYEN'!BD540</f>
        <v>0</v>
      </c>
      <c r="BD23" s="27">
        <f>'DANH MUC HUYEN'!BE540</f>
        <v>0.35</v>
      </c>
      <c r="BE23" s="27">
        <f>'DANH MUC HUYEN'!BF540</f>
        <v>0</v>
      </c>
      <c r="BF23" s="27">
        <f>'DANH MUC HUYEN'!BG540</f>
        <v>0</v>
      </c>
      <c r="BG23" s="27">
        <f>'DANH MUC HUYEN'!BH540</f>
        <v>0</v>
      </c>
      <c r="BH23" s="27"/>
      <c r="BI23" s="27"/>
      <c r="BJ23" s="27"/>
      <c r="BK23" s="27"/>
    </row>
    <row r="24" spans="1:63" x14ac:dyDescent="0.35">
      <c r="A24" s="27" t="str">
        <f>'DANH MUC HUYEN'!A549</f>
        <v>XIV.7</v>
      </c>
      <c r="B24" s="27" t="str">
        <f>'DANH MUC HUYEN'!B549</f>
        <v>Đất công trình năng lượng</v>
      </c>
      <c r="C24" s="27" t="str">
        <f>'DANH MUC HUYEN'!C549</f>
        <v>DNL</v>
      </c>
      <c r="D24" s="27">
        <f>'DANH MUC HUYEN'!D549</f>
        <v>5.57</v>
      </c>
      <c r="E24" s="27">
        <f>'DANH MUC HUYEN'!E549</f>
        <v>0</v>
      </c>
      <c r="F24" s="33">
        <f>'DANH MUC HUYEN'!F549</f>
        <v>5.57</v>
      </c>
      <c r="G24" s="27">
        <f>'DANH MUC HUYEN'!G549</f>
        <v>4.34</v>
      </c>
      <c r="H24" s="27">
        <f>'DANH MUC HUYEN'!H549</f>
        <v>0</v>
      </c>
      <c r="I24" s="27">
        <f>'DANH MUC HUYEN'!I549</f>
        <v>0</v>
      </c>
      <c r="J24" s="27">
        <f>'DANH MUC HUYEN'!J549</f>
        <v>1.23</v>
      </c>
      <c r="K24" s="27"/>
      <c r="L24" s="27"/>
      <c r="M24" s="27"/>
      <c r="N24" s="27"/>
      <c r="O24" s="28">
        <f>'DANH MUC HUYEN'!P549</f>
        <v>0</v>
      </c>
      <c r="P24" s="28">
        <f>'DANH MUC HUYEN'!Q549</f>
        <v>0</v>
      </c>
      <c r="Q24" s="27">
        <f>'DANH MUC HUYEN'!R549</f>
        <v>0</v>
      </c>
      <c r="R24" s="27">
        <f>'DANH MUC HUYEN'!S549</f>
        <v>0</v>
      </c>
      <c r="S24" s="27">
        <f>'DANH MUC HUYEN'!T549</f>
        <v>0</v>
      </c>
      <c r="T24" s="27">
        <f>'DANH MUC HUYEN'!U549</f>
        <v>0</v>
      </c>
      <c r="U24" s="27">
        <f>'DANH MUC HUYEN'!V549</f>
        <v>0</v>
      </c>
      <c r="V24" s="27">
        <f>'DANH MUC HUYEN'!W549</f>
        <v>0</v>
      </c>
      <c r="W24" s="27">
        <f>'DANH MUC HUYEN'!X549</f>
        <v>0</v>
      </c>
      <c r="X24" s="27">
        <f>'DANH MUC HUYEN'!Y549</f>
        <v>0</v>
      </c>
      <c r="Y24" s="27">
        <f>'DANH MUC HUYEN'!Z549</f>
        <v>0.4</v>
      </c>
      <c r="Z24" s="27">
        <f>'DANH MUC HUYEN'!AA549</f>
        <v>0</v>
      </c>
      <c r="AA24" s="27">
        <f>'DANH MUC HUYEN'!AB549</f>
        <v>0</v>
      </c>
      <c r="AB24" s="27">
        <f>'DANH MUC HUYEN'!AC549</f>
        <v>0</v>
      </c>
      <c r="AC24" s="27">
        <f>'DANH MUC HUYEN'!AD549</f>
        <v>0</v>
      </c>
      <c r="AD24" s="27">
        <f>'DANH MUC HUYEN'!AE549</f>
        <v>0</v>
      </c>
      <c r="AE24" s="27">
        <f>'DANH MUC HUYEN'!AF549</f>
        <v>0</v>
      </c>
      <c r="AF24" s="27">
        <f>'DANH MUC HUYEN'!AG549</f>
        <v>0</v>
      </c>
      <c r="AG24" s="27">
        <f>'DANH MUC HUYEN'!AH549</f>
        <v>0</v>
      </c>
      <c r="AH24" s="27">
        <f>'DANH MUC HUYEN'!AI549</f>
        <v>0</v>
      </c>
      <c r="AI24" s="27">
        <f>'DANH MUC HUYEN'!AJ549</f>
        <v>0</v>
      </c>
      <c r="AJ24" s="27">
        <f>'DANH MUC HUYEN'!AK549</f>
        <v>0</v>
      </c>
      <c r="AK24" s="27">
        <f>'DANH MUC HUYEN'!AL549</f>
        <v>0</v>
      </c>
      <c r="AL24" s="27">
        <f>'DANH MUC HUYEN'!AM549</f>
        <v>0</v>
      </c>
      <c r="AM24" s="27">
        <f>'DANH MUC HUYEN'!AN549</f>
        <v>0</v>
      </c>
      <c r="AN24" s="27">
        <f>'DANH MUC HUYEN'!AO549</f>
        <v>0</v>
      </c>
      <c r="AO24" s="27">
        <f>'DANH MUC HUYEN'!AP549</f>
        <v>0</v>
      </c>
      <c r="AP24" s="27">
        <f>'DANH MUC HUYEN'!AQ549</f>
        <v>0</v>
      </c>
      <c r="AQ24" s="27">
        <f>'DANH MUC HUYEN'!AR549</f>
        <v>0</v>
      </c>
      <c r="AR24" s="27">
        <f>'DANH MUC HUYEN'!AS549</f>
        <v>0</v>
      </c>
      <c r="AS24" s="27">
        <f>'DANH MUC HUYEN'!AT549</f>
        <v>0</v>
      </c>
      <c r="AT24" s="27">
        <f>'DANH MUC HUYEN'!AU549</f>
        <v>0</v>
      </c>
      <c r="AU24" s="27">
        <f>'DANH MUC HUYEN'!AV549</f>
        <v>0</v>
      </c>
      <c r="AV24" s="27">
        <f>'DANH MUC HUYEN'!AW549</f>
        <v>0</v>
      </c>
      <c r="AW24" s="27">
        <f>'DANH MUC HUYEN'!AX549</f>
        <v>0</v>
      </c>
      <c r="AX24" s="27">
        <f>'DANH MUC HUYEN'!AY549</f>
        <v>0</v>
      </c>
      <c r="AY24" s="27">
        <f>'DANH MUC HUYEN'!AZ549</f>
        <v>0</v>
      </c>
      <c r="AZ24" s="27">
        <f>'DANH MUC HUYEN'!BA549</f>
        <v>0</v>
      </c>
      <c r="BA24" s="27">
        <f>'DANH MUC HUYEN'!BB549</f>
        <v>0</v>
      </c>
      <c r="BB24" s="27">
        <f>'DANH MUC HUYEN'!BC549</f>
        <v>0</v>
      </c>
      <c r="BC24" s="27">
        <f>'DANH MUC HUYEN'!BD549</f>
        <v>0</v>
      </c>
      <c r="BD24" s="27">
        <f>'DANH MUC HUYEN'!BE549</f>
        <v>0.83000000000000007</v>
      </c>
      <c r="BE24" s="27">
        <f>'DANH MUC HUYEN'!BF549</f>
        <v>0</v>
      </c>
      <c r="BF24" s="27">
        <f>'DANH MUC HUYEN'!BG549</f>
        <v>0</v>
      </c>
      <c r="BG24" s="27">
        <f>'DANH MUC HUYEN'!BH549</f>
        <v>0</v>
      </c>
      <c r="BH24" s="27"/>
      <c r="BI24" s="27"/>
      <c r="BJ24" s="27"/>
      <c r="BK24" s="27"/>
    </row>
    <row r="25" spans="1:63" x14ac:dyDescent="0.35">
      <c r="A25" s="27" t="str">
        <f>'DANH MUC HUYEN'!A578</f>
        <v>XIV.8</v>
      </c>
      <c r="B25" s="27" t="str">
        <f>'DANH MUC HUYEN'!B578</f>
        <v>Đất công trình bưu chính, viễn thông</v>
      </c>
      <c r="C25" s="27" t="str">
        <f>'DANH MUC HUYEN'!C578</f>
        <v>DBV</v>
      </c>
      <c r="D25" s="27">
        <f>'DANH MUC HUYEN'!D578</f>
        <v>3.5300000000000002</v>
      </c>
      <c r="E25" s="27">
        <f>'DANH MUC HUYEN'!E578</f>
        <v>0</v>
      </c>
      <c r="F25" s="33">
        <f>'DANH MUC HUYEN'!F578</f>
        <v>3.5300000000000002</v>
      </c>
      <c r="G25" s="27">
        <f>'DANH MUC HUYEN'!G578</f>
        <v>1.4200000000000002</v>
      </c>
      <c r="H25" s="27">
        <f>'DANH MUC HUYEN'!H578</f>
        <v>0</v>
      </c>
      <c r="I25" s="27">
        <f>'DANH MUC HUYEN'!I578</f>
        <v>0</v>
      </c>
      <c r="J25" s="27">
        <f>'DANH MUC HUYEN'!J578</f>
        <v>2.1100000000000003</v>
      </c>
      <c r="K25" s="27"/>
      <c r="L25" s="27"/>
      <c r="M25" s="27"/>
      <c r="N25" s="27"/>
      <c r="O25" s="28">
        <f>'DANH MUC HUYEN'!P578</f>
        <v>0</v>
      </c>
      <c r="P25" s="28">
        <f>'DANH MUC HUYEN'!Q578</f>
        <v>0</v>
      </c>
      <c r="Q25" s="27">
        <f>'DANH MUC HUYEN'!R578</f>
        <v>0</v>
      </c>
      <c r="R25" s="27">
        <f>'DANH MUC HUYEN'!S578</f>
        <v>0</v>
      </c>
      <c r="S25" s="27">
        <f>'DANH MUC HUYEN'!T578</f>
        <v>0</v>
      </c>
      <c r="T25" s="27">
        <f>'DANH MUC HUYEN'!U578</f>
        <v>0</v>
      </c>
      <c r="U25" s="27">
        <f>'DANH MUC HUYEN'!V578</f>
        <v>0.14000000000000001</v>
      </c>
      <c r="V25" s="27">
        <f>'DANH MUC HUYEN'!W578</f>
        <v>0</v>
      </c>
      <c r="W25" s="27">
        <f>'DANH MUC HUYEN'!X578</f>
        <v>0.37999999999999995</v>
      </c>
      <c r="X25" s="27">
        <f>'DANH MUC HUYEN'!Y578</f>
        <v>0.04</v>
      </c>
      <c r="Y25" s="27">
        <f>'DANH MUC HUYEN'!Z578</f>
        <v>0.3</v>
      </c>
      <c r="Z25" s="27">
        <f>'DANH MUC HUYEN'!AA578</f>
        <v>0.28999999999999998</v>
      </c>
      <c r="AA25" s="27">
        <f>'DANH MUC HUYEN'!AB578</f>
        <v>0.04</v>
      </c>
      <c r="AB25" s="27">
        <f>'DANH MUC HUYEN'!AC578</f>
        <v>0</v>
      </c>
      <c r="AC25" s="27">
        <f>'DANH MUC HUYEN'!AD578</f>
        <v>0</v>
      </c>
      <c r="AD25" s="27">
        <f>'DANH MUC HUYEN'!AE578</f>
        <v>0</v>
      </c>
      <c r="AE25" s="27">
        <f>'DANH MUC HUYEN'!AF578</f>
        <v>0</v>
      </c>
      <c r="AF25" s="27">
        <f>'DANH MUC HUYEN'!AG578</f>
        <v>0.03</v>
      </c>
      <c r="AG25" s="27">
        <f>'DANH MUC HUYEN'!AH578</f>
        <v>0</v>
      </c>
      <c r="AH25" s="27">
        <f>'DANH MUC HUYEN'!AI578</f>
        <v>0</v>
      </c>
      <c r="AI25" s="27">
        <f>'DANH MUC HUYEN'!AJ578</f>
        <v>0</v>
      </c>
      <c r="AJ25" s="27">
        <f>'DANH MUC HUYEN'!AK578</f>
        <v>0</v>
      </c>
      <c r="AK25" s="27">
        <f>'DANH MUC HUYEN'!AL578</f>
        <v>0</v>
      </c>
      <c r="AL25" s="27">
        <f>'DANH MUC HUYEN'!AM578</f>
        <v>0</v>
      </c>
      <c r="AM25" s="27">
        <f>'DANH MUC HUYEN'!AN578</f>
        <v>0.02</v>
      </c>
      <c r="AN25" s="27">
        <f>'DANH MUC HUYEN'!AO578</f>
        <v>0</v>
      </c>
      <c r="AO25" s="27">
        <f>'DANH MUC HUYEN'!AP578</f>
        <v>0</v>
      </c>
      <c r="AP25" s="27">
        <f>'DANH MUC HUYEN'!AQ578</f>
        <v>0</v>
      </c>
      <c r="AQ25" s="27">
        <f>'DANH MUC HUYEN'!AR578</f>
        <v>0.06</v>
      </c>
      <c r="AR25" s="27">
        <f>'DANH MUC HUYEN'!AS578</f>
        <v>0</v>
      </c>
      <c r="AS25" s="27">
        <f>'DANH MUC HUYEN'!AT578</f>
        <v>0</v>
      </c>
      <c r="AT25" s="27">
        <f>'DANH MUC HUYEN'!AU578</f>
        <v>0</v>
      </c>
      <c r="AU25" s="27">
        <f>'DANH MUC HUYEN'!AV578</f>
        <v>0</v>
      </c>
      <c r="AV25" s="27">
        <f>'DANH MUC HUYEN'!AW578</f>
        <v>0</v>
      </c>
      <c r="AW25" s="27">
        <f>'DANH MUC HUYEN'!AX578</f>
        <v>0</v>
      </c>
      <c r="AX25" s="27">
        <f>'DANH MUC HUYEN'!AY578</f>
        <v>0</v>
      </c>
      <c r="AY25" s="27">
        <f>'DANH MUC HUYEN'!AZ578</f>
        <v>0</v>
      </c>
      <c r="AZ25" s="27">
        <f>'DANH MUC HUYEN'!BA578</f>
        <v>0</v>
      </c>
      <c r="BA25" s="27">
        <f>'DANH MUC HUYEN'!BB578</f>
        <v>0</v>
      </c>
      <c r="BB25" s="27">
        <f>'DANH MUC HUYEN'!BC578</f>
        <v>0</v>
      </c>
      <c r="BC25" s="27">
        <f>'DANH MUC HUYEN'!BD578</f>
        <v>0.04</v>
      </c>
      <c r="BD25" s="27">
        <f>'DANH MUC HUYEN'!BE578</f>
        <v>0.67</v>
      </c>
      <c r="BE25" s="27">
        <f>'DANH MUC HUYEN'!BF578</f>
        <v>0.1</v>
      </c>
      <c r="BF25" s="27">
        <f>'DANH MUC HUYEN'!BG578</f>
        <v>0</v>
      </c>
      <c r="BG25" s="27">
        <f>'DANH MUC HUYEN'!BH578</f>
        <v>0</v>
      </c>
      <c r="BH25" s="27"/>
      <c r="BI25" s="27"/>
      <c r="BJ25" s="27"/>
      <c r="BK25" s="27"/>
    </row>
    <row r="26" spans="1:63" x14ac:dyDescent="0.35">
      <c r="A26" s="27" t="str">
        <f>'DANH MUC HUYEN'!A603</f>
        <v>XIV.9</v>
      </c>
      <c r="B26" s="27" t="str">
        <f>'DANH MUC HUYEN'!B603</f>
        <v>Đất bãi thải, xử lý chất thải</v>
      </c>
      <c r="C26" s="27" t="str">
        <f>'DANH MUC HUYEN'!C603</f>
        <v>DRA</v>
      </c>
      <c r="D26" s="27">
        <f>'DANH MUC HUYEN'!D603</f>
        <v>2.93</v>
      </c>
      <c r="E26" s="27">
        <f>'DANH MUC HUYEN'!E603</f>
        <v>0</v>
      </c>
      <c r="F26" s="33">
        <f>'DANH MUC HUYEN'!F603</f>
        <v>2.93</v>
      </c>
      <c r="G26" s="27">
        <f>'DANH MUC HUYEN'!G603</f>
        <v>1.6600000000000001</v>
      </c>
      <c r="H26" s="27">
        <f>'DANH MUC HUYEN'!H603</f>
        <v>0</v>
      </c>
      <c r="I26" s="27">
        <f>'DANH MUC HUYEN'!I603</f>
        <v>0</v>
      </c>
      <c r="J26" s="27">
        <f>'DANH MUC HUYEN'!J603</f>
        <v>1.27</v>
      </c>
      <c r="K26" s="27"/>
      <c r="L26" s="27"/>
      <c r="M26" s="27"/>
      <c r="N26" s="27"/>
      <c r="O26" s="28">
        <f>'DANH MUC HUYEN'!P603</f>
        <v>0</v>
      </c>
      <c r="P26" s="28">
        <f>'DANH MUC HUYEN'!Q603</f>
        <v>0</v>
      </c>
      <c r="Q26" s="27">
        <f>'DANH MUC HUYEN'!R603</f>
        <v>0</v>
      </c>
      <c r="R26" s="27">
        <f>'DANH MUC HUYEN'!S603</f>
        <v>0</v>
      </c>
      <c r="S26" s="27">
        <f>'DANH MUC HUYEN'!T603</f>
        <v>0</v>
      </c>
      <c r="T26" s="27">
        <f>'DANH MUC HUYEN'!U603</f>
        <v>0</v>
      </c>
      <c r="U26" s="27">
        <f>'DANH MUC HUYEN'!V603</f>
        <v>0</v>
      </c>
      <c r="V26" s="27">
        <f>'DANH MUC HUYEN'!W603</f>
        <v>0</v>
      </c>
      <c r="W26" s="27">
        <f>'DANH MUC HUYEN'!X603</f>
        <v>0</v>
      </c>
      <c r="X26" s="27">
        <f>'DANH MUC HUYEN'!Y603</f>
        <v>0</v>
      </c>
      <c r="Y26" s="27">
        <f>'DANH MUC HUYEN'!Z603</f>
        <v>0</v>
      </c>
      <c r="Z26" s="27">
        <f>'DANH MUC HUYEN'!AA603</f>
        <v>0</v>
      </c>
      <c r="AA26" s="27">
        <f>'DANH MUC HUYEN'!AB603</f>
        <v>0</v>
      </c>
      <c r="AB26" s="27">
        <f>'DANH MUC HUYEN'!AC603</f>
        <v>0</v>
      </c>
      <c r="AC26" s="27">
        <f>'DANH MUC HUYEN'!AD603</f>
        <v>0</v>
      </c>
      <c r="AD26" s="27">
        <f>'DANH MUC HUYEN'!AE603</f>
        <v>0</v>
      </c>
      <c r="AE26" s="27">
        <f>'DANH MUC HUYEN'!AF603</f>
        <v>0</v>
      </c>
      <c r="AF26" s="27">
        <f>'DANH MUC HUYEN'!AG603</f>
        <v>0</v>
      </c>
      <c r="AG26" s="27">
        <f>'DANH MUC HUYEN'!AH603</f>
        <v>0</v>
      </c>
      <c r="AH26" s="27">
        <f>'DANH MUC HUYEN'!AI603</f>
        <v>0</v>
      </c>
      <c r="AI26" s="27">
        <f>'DANH MUC HUYEN'!AJ603</f>
        <v>0</v>
      </c>
      <c r="AJ26" s="27">
        <f>'DANH MUC HUYEN'!AK603</f>
        <v>0</v>
      </c>
      <c r="AK26" s="27">
        <f>'DANH MUC HUYEN'!AL603</f>
        <v>0</v>
      </c>
      <c r="AL26" s="27">
        <f>'DANH MUC HUYEN'!AM603</f>
        <v>0</v>
      </c>
      <c r="AM26" s="27">
        <f>'DANH MUC HUYEN'!AN603</f>
        <v>0</v>
      </c>
      <c r="AN26" s="27">
        <f>'DANH MUC HUYEN'!AO603</f>
        <v>0</v>
      </c>
      <c r="AO26" s="27">
        <f>'DANH MUC HUYEN'!AP603</f>
        <v>0</v>
      </c>
      <c r="AP26" s="27">
        <f>'DANH MUC HUYEN'!AQ603</f>
        <v>0.06</v>
      </c>
      <c r="AQ26" s="27">
        <f>'DANH MUC HUYEN'!AR603</f>
        <v>0</v>
      </c>
      <c r="AR26" s="27">
        <f>'DANH MUC HUYEN'!AS603</f>
        <v>0</v>
      </c>
      <c r="AS26" s="27">
        <f>'DANH MUC HUYEN'!AT603</f>
        <v>0</v>
      </c>
      <c r="AT26" s="27">
        <f>'DANH MUC HUYEN'!AU603</f>
        <v>0</v>
      </c>
      <c r="AU26" s="27">
        <f>'DANH MUC HUYEN'!AV603</f>
        <v>0</v>
      </c>
      <c r="AV26" s="27">
        <f>'DANH MUC HUYEN'!AW603</f>
        <v>0</v>
      </c>
      <c r="AW26" s="27">
        <f>'DANH MUC HUYEN'!AX603</f>
        <v>0</v>
      </c>
      <c r="AX26" s="27">
        <f>'DANH MUC HUYEN'!AY603</f>
        <v>0</v>
      </c>
      <c r="AY26" s="27">
        <f>'DANH MUC HUYEN'!AZ603</f>
        <v>0</v>
      </c>
      <c r="AZ26" s="27">
        <f>'DANH MUC HUYEN'!BA603</f>
        <v>0</v>
      </c>
      <c r="BA26" s="27">
        <f>'DANH MUC HUYEN'!BB603</f>
        <v>0</v>
      </c>
      <c r="BB26" s="27">
        <f>'DANH MUC HUYEN'!BC603</f>
        <v>0</v>
      </c>
      <c r="BC26" s="27">
        <f>'DANH MUC HUYEN'!BD603</f>
        <v>1.1299999999999999</v>
      </c>
      <c r="BD26" s="27">
        <f>'DANH MUC HUYEN'!BE603</f>
        <v>0.08</v>
      </c>
      <c r="BE26" s="27">
        <f>'DANH MUC HUYEN'!BF603</f>
        <v>0</v>
      </c>
      <c r="BF26" s="27">
        <f>'DANH MUC HUYEN'!BG603</f>
        <v>0</v>
      </c>
      <c r="BG26" s="27">
        <f>'DANH MUC HUYEN'!BH603</f>
        <v>0</v>
      </c>
      <c r="BH26" s="27"/>
      <c r="BI26" s="27"/>
      <c r="BJ26" s="27"/>
      <c r="BK26" s="27"/>
    </row>
    <row r="27" spans="1:63" x14ac:dyDescent="0.35">
      <c r="A27" s="27" t="str">
        <f>'DANH MUC HUYEN'!A607</f>
        <v>XIV.10</v>
      </c>
      <c r="B27" s="27" t="str">
        <f>'DANH MUC HUYEN'!B607</f>
        <v>Đất cơ sở tôn giáo</v>
      </c>
      <c r="C27" s="27" t="str">
        <f>'DANH MUC HUYEN'!C607</f>
        <v>TON</v>
      </c>
      <c r="D27" s="27">
        <f>'DANH MUC HUYEN'!D607</f>
        <v>27.609999999999996</v>
      </c>
      <c r="E27" s="27">
        <f>'DANH MUC HUYEN'!E607</f>
        <v>15.14</v>
      </c>
      <c r="F27" s="33">
        <f>'DANH MUC HUYEN'!F607</f>
        <v>12.470000000000002</v>
      </c>
      <c r="G27" s="27">
        <f>'DANH MUC HUYEN'!G607</f>
        <v>6.6099999999999994</v>
      </c>
      <c r="H27" s="27">
        <f>'DANH MUC HUYEN'!H607</f>
        <v>0</v>
      </c>
      <c r="I27" s="27">
        <f>'DANH MUC HUYEN'!I607</f>
        <v>0</v>
      </c>
      <c r="J27" s="27">
        <f>'DANH MUC HUYEN'!J607</f>
        <v>5.8599999999999994</v>
      </c>
      <c r="K27" s="27"/>
      <c r="L27" s="27"/>
      <c r="M27" s="27"/>
      <c r="N27" s="27"/>
      <c r="O27" s="28">
        <f>'DANH MUC HUYEN'!P607</f>
        <v>0</v>
      </c>
      <c r="P27" s="28">
        <f>'DANH MUC HUYEN'!Q607</f>
        <v>0</v>
      </c>
      <c r="Q27" s="27">
        <f>'DANH MUC HUYEN'!R607</f>
        <v>0</v>
      </c>
      <c r="R27" s="27">
        <f>'DANH MUC HUYEN'!S607</f>
        <v>0</v>
      </c>
      <c r="S27" s="27">
        <f>'DANH MUC HUYEN'!T607</f>
        <v>0</v>
      </c>
      <c r="T27" s="27">
        <f>'DANH MUC HUYEN'!U607</f>
        <v>0</v>
      </c>
      <c r="U27" s="27">
        <f>'DANH MUC HUYEN'!V607</f>
        <v>0</v>
      </c>
      <c r="V27" s="27">
        <f>'DANH MUC HUYEN'!W607</f>
        <v>0</v>
      </c>
      <c r="W27" s="27">
        <f>'DANH MUC HUYEN'!X607</f>
        <v>1.1800000000000002</v>
      </c>
      <c r="X27" s="27">
        <f>'DANH MUC HUYEN'!Y607</f>
        <v>0</v>
      </c>
      <c r="Y27" s="27">
        <f>'DANH MUC HUYEN'!Z607</f>
        <v>0.16</v>
      </c>
      <c r="Z27" s="27">
        <f>'DANH MUC HUYEN'!AA607</f>
        <v>1.35</v>
      </c>
      <c r="AA27" s="27">
        <f>'DANH MUC HUYEN'!AB607</f>
        <v>0.27999999999999997</v>
      </c>
      <c r="AB27" s="27">
        <f>'DANH MUC HUYEN'!AC607</f>
        <v>0</v>
      </c>
      <c r="AC27" s="27">
        <f>'DANH MUC HUYEN'!AD607</f>
        <v>0</v>
      </c>
      <c r="AD27" s="27">
        <f>'DANH MUC HUYEN'!AE607</f>
        <v>0.99</v>
      </c>
      <c r="AE27" s="27">
        <f>'DANH MUC HUYEN'!AF607</f>
        <v>0</v>
      </c>
      <c r="AF27" s="27">
        <f>'DANH MUC HUYEN'!AG607</f>
        <v>0.5</v>
      </c>
      <c r="AG27" s="27">
        <f>'DANH MUC HUYEN'!AH607</f>
        <v>0</v>
      </c>
      <c r="AH27" s="27">
        <f>'DANH MUC HUYEN'!AI607</f>
        <v>0</v>
      </c>
      <c r="AI27" s="27">
        <f>'DANH MUC HUYEN'!AJ607</f>
        <v>0</v>
      </c>
      <c r="AJ27" s="27">
        <f>'DANH MUC HUYEN'!AK607</f>
        <v>0</v>
      </c>
      <c r="AK27" s="27">
        <f>'DANH MUC HUYEN'!AL607</f>
        <v>0</v>
      </c>
      <c r="AL27" s="27">
        <f>'DANH MUC HUYEN'!AM607</f>
        <v>0</v>
      </c>
      <c r="AM27" s="27">
        <f>'DANH MUC HUYEN'!AN607</f>
        <v>0</v>
      </c>
      <c r="AN27" s="27">
        <f>'DANH MUC HUYEN'!AO607</f>
        <v>0</v>
      </c>
      <c r="AO27" s="27">
        <f>'DANH MUC HUYEN'!AP607</f>
        <v>0</v>
      </c>
      <c r="AP27" s="27">
        <f>'DANH MUC HUYEN'!AQ607</f>
        <v>0.8</v>
      </c>
      <c r="AQ27" s="27">
        <f>'DANH MUC HUYEN'!AR607</f>
        <v>0</v>
      </c>
      <c r="AR27" s="27">
        <f>'DANH MUC HUYEN'!AS607</f>
        <v>0</v>
      </c>
      <c r="AS27" s="27">
        <f>'DANH MUC HUYEN'!AT607</f>
        <v>0</v>
      </c>
      <c r="AT27" s="27">
        <f>'DANH MUC HUYEN'!AU607</f>
        <v>0</v>
      </c>
      <c r="AU27" s="27">
        <f>'DANH MUC HUYEN'!AV607</f>
        <v>0</v>
      </c>
      <c r="AV27" s="27">
        <f>'DANH MUC HUYEN'!AW607</f>
        <v>0</v>
      </c>
      <c r="AW27" s="27">
        <f>'DANH MUC HUYEN'!AX607</f>
        <v>0</v>
      </c>
      <c r="AX27" s="27">
        <f>'DANH MUC HUYEN'!AY607</f>
        <v>0</v>
      </c>
      <c r="AY27" s="27">
        <f>'DANH MUC HUYEN'!AZ607</f>
        <v>0</v>
      </c>
      <c r="AZ27" s="27">
        <f>'DANH MUC HUYEN'!BA607</f>
        <v>0</v>
      </c>
      <c r="BA27" s="27">
        <f>'DANH MUC HUYEN'!BB607</f>
        <v>0</v>
      </c>
      <c r="BB27" s="27">
        <f>'DANH MUC HUYEN'!BC607</f>
        <v>0.28999999999999998</v>
      </c>
      <c r="BC27" s="27">
        <f>'DANH MUC HUYEN'!BD607</f>
        <v>0.1</v>
      </c>
      <c r="BD27" s="27">
        <f>'DANH MUC HUYEN'!BE607</f>
        <v>0.21000000000000002</v>
      </c>
      <c r="BE27" s="27">
        <f>'DANH MUC HUYEN'!BF607</f>
        <v>0</v>
      </c>
      <c r="BF27" s="27">
        <f>'DANH MUC HUYEN'!BG607</f>
        <v>0</v>
      </c>
      <c r="BG27" s="27">
        <f>'DANH MUC HUYEN'!BH607</f>
        <v>0</v>
      </c>
      <c r="BH27" s="27"/>
      <c r="BI27" s="27"/>
      <c r="BJ27" s="27"/>
      <c r="BK27" s="27"/>
    </row>
    <row r="28" spans="1:63" x14ac:dyDescent="0.35">
      <c r="A28" s="27" t="str">
        <f>'DANH MUC HUYEN'!A624</f>
        <v>XIV.11</v>
      </c>
      <c r="B28" s="27" t="str">
        <f>'DANH MUC HUYEN'!B624</f>
        <v>Đất làm nghĩa trang, nhà tang lễ, nhà hỏa táng</v>
      </c>
      <c r="C28" s="27" t="str">
        <f>'DANH MUC HUYEN'!C624</f>
        <v>NTD</v>
      </c>
      <c r="D28" s="27">
        <f>'DANH MUC HUYEN'!D624</f>
        <v>107.88999999999999</v>
      </c>
      <c r="E28" s="27">
        <f>'DANH MUC HUYEN'!E624</f>
        <v>42.150000000000006</v>
      </c>
      <c r="F28" s="33">
        <f>'DANH MUC HUYEN'!F624</f>
        <v>65.739999999999995</v>
      </c>
      <c r="G28" s="27">
        <f>'DANH MUC HUYEN'!G624</f>
        <v>33.11999999999999</v>
      </c>
      <c r="H28" s="27">
        <f>'DANH MUC HUYEN'!H624</f>
        <v>3.83</v>
      </c>
      <c r="I28" s="27">
        <f>'DANH MUC HUYEN'!I624</f>
        <v>0</v>
      </c>
      <c r="J28" s="27">
        <f>'DANH MUC HUYEN'!J624</f>
        <v>28.790000000000006</v>
      </c>
      <c r="K28" s="27"/>
      <c r="L28" s="27"/>
      <c r="M28" s="27"/>
      <c r="N28" s="27"/>
      <c r="O28" s="28">
        <f>'DANH MUC HUYEN'!P624</f>
        <v>3.83</v>
      </c>
      <c r="P28" s="28">
        <f>'DANH MUC HUYEN'!Q624</f>
        <v>0</v>
      </c>
      <c r="Q28" s="27">
        <f>'DANH MUC HUYEN'!R624</f>
        <v>0</v>
      </c>
      <c r="R28" s="27">
        <f>'DANH MUC HUYEN'!S624</f>
        <v>0</v>
      </c>
      <c r="S28" s="27">
        <f>'DANH MUC HUYEN'!T624</f>
        <v>0</v>
      </c>
      <c r="T28" s="27">
        <f>'DANH MUC HUYEN'!U624</f>
        <v>0</v>
      </c>
      <c r="U28" s="27">
        <f>'DANH MUC HUYEN'!V624</f>
        <v>0</v>
      </c>
      <c r="V28" s="27">
        <f>'DANH MUC HUYEN'!W624</f>
        <v>0</v>
      </c>
      <c r="W28" s="27">
        <f>'DANH MUC HUYEN'!X624</f>
        <v>10.6</v>
      </c>
      <c r="X28" s="27">
        <f>'DANH MUC HUYEN'!Y624</f>
        <v>3.12</v>
      </c>
      <c r="Y28" s="27">
        <f>'DANH MUC HUYEN'!Z624</f>
        <v>4.4300000000000006</v>
      </c>
      <c r="Z28" s="27">
        <f>'DANH MUC HUYEN'!AA624</f>
        <v>2.48</v>
      </c>
      <c r="AA28" s="27">
        <f>'DANH MUC HUYEN'!AB624</f>
        <v>0</v>
      </c>
      <c r="AB28" s="27">
        <f>'DANH MUC HUYEN'!AC624</f>
        <v>0</v>
      </c>
      <c r="AC28" s="27">
        <f>'DANH MUC HUYEN'!AD624</f>
        <v>0</v>
      </c>
      <c r="AD28" s="27">
        <f>'DANH MUC HUYEN'!AE624</f>
        <v>0</v>
      </c>
      <c r="AE28" s="27">
        <f>'DANH MUC HUYEN'!AF624</f>
        <v>0</v>
      </c>
      <c r="AF28" s="27">
        <f>'DANH MUC HUYEN'!AG624</f>
        <v>0</v>
      </c>
      <c r="AG28" s="27">
        <f>'DANH MUC HUYEN'!AH624</f>
        <v>0</v>
      </c>
      <c r="AH28" s="27">
        <f>'DANH MUC HUYEN'!AI624</f>
        <v>0</v>
      </c>
      <c r="AI28" s="27">
        <f>'DANH MUC HUYEN'!AJ624</f>
        <v>0</v>
      </c>
      <c r="AJ28" s="27">
        <f>'DANH MUC HUYEN'!AK624</f>
        <v>0</v>
      </c>
      <c r="AK28" s="27">
        <f>'DANH MUC HUYEN'!AL624</f>
        <v>0</v>
      </c>
      <c r="AL28" s="27">
        <f>'DANH MUC HUYEN'!AM624</f>
        <v>0</v>
      </c>
      <c r="AM28" s="27">
        <f>'DANH MUC HUYEN'!AN624</f>
        <v>0</v>
      </c>
      <c r="AN28" s="27">
        <f>'DANH MUC HUYEN'!AO624</f>
        <v>0</v>
      </c>
      <c r="AO28" s="27">
        <f>'DANH MUC HUYEN'!AP624</f>
        <v>0</v>
      </c>
      <c r="AP28" s="27">
        <f>'DANH MUC HUYEN'!AQ624</f>
        <v>3.8400000000000003</v>
      </c>
      <c r="AQ28" s="27">
        <f>'DANH MUC HUYEN'!AR624</f>
        <v>1.22</v>
      </c>
      <c r="AR28" s="27">
        <f>'DANH MUC HUYEN'!AS624</f>
        <v>0</v>
      </c>
      <c r="AS28" s="27">
        <f>'DANH MUC HUYEN'!AT624</f>
        <v>0</v>
      </c>
      <c r="AT28" s="27">
        <f>'DANH MUC HUYEN'!AU624</f>
        <v>0</v>
      </c>
      <c r="AU28" s="27">
        <f>'DANH MUC HUYEN'!AV624</f>
        <v>0</v>
      </c>
      <c r="AV28" s="27">
        <f>'DANH MUC HUYEN'!AW624</f>
        <v>0</v>
      </c>
      <c r="AW28" s="27">
        <f>'DANH MUC HUYEN'!AX624</f>
        <v>0</v>
      </c>
      <c r="AX28" s="27">
        <f>'DANH MUC HUYEN'!AY624</f>
        <v>0</v>
      </c>
      <c r="AY28" s="27">
        <f>'DANH MUC HUYEN'!AZ624</f>
        <v>0</v>
      </c>
      <c r="AZ28" s="27">
        <f>'DANH MUC HUYEN'!BA624</f>
        <v>0</v>
      </c>
      <c r="BA28" s="27">
        <f>'DANH MUC HUYEN'!BB624</f>
        <v>0</v>
      </c>
      <c r="BB28" s="27">
        <f>'DANH MUC HUYEN'!BC624</f>
        <v>0</v>
      </c>
      <c r="BC28" s="27">
        <f>'DANH MUC HUYEN'!BD624</f>
        <v>0</v>
      </c>
      <c r="BD28" s="27">
        <f>'DANH MUC HUYEN'!BE624</f>
        <v>3.1</v>
      </c>
      <c r="BE28" s="27">
        <f>'DANH MUC HUYEN'!BF624</f>
        <v>0</v>
      </c>
      <c r="BF28" s="27">
        <f>'DANH MUC HUYEN'!BG624</f>
        <v>0</v>
      </c>
      <c r="BG28" s="27">
        <f>'DANH MUC HUYEN'!BH624</f>
        <v>0</v>
      </c>
      <c r="BH28" s="27"/>
      <c r="BI28" s="27"/>
      <c r="BJ28" s="27"/>
      <c r="BK28" s="27"/>
    </row>
    <row r="29" spans="1:63" x14ac:dyDescent="0.35">
      <c r="A29" s="27" t="str">
        <f>'DANH MUC HUYEN'!A649</f>
        <v>XIV.12</v>
      </c>
      <c r="B29" s="27" t="str">
        <f>'DANH MUC HUYEN'!B649</f>
        <v>Đất chợ</v>
      </c>
      <c r="C29" s="27" t="str">
        <f>'DANH MUC HUYEN'!C649</f>
        <v>DCH</v>
      </c>
      <c r="D29" s="27">
        <f>'DANH MUC HUYEN'!D649</f>
        <v>9.7499999999999982</v>
      </c>
      <c r="E29" s="27">
        <f>'DANH MUC HUYEN'!E649</f>
        <v>1.9700000000000002</v>
      </c>
      <c r="F29" s="33">
        <f>'DANH MUC HUYEN'!F649</f>
        <v>7.7799999999999994</v>
      </c>
      <c r="G29" s="27">
        <f>'DANH MUC HUYEN'!G649</f>
        <v>4.7300000000000004</v>
      </c>
      <c r="H29" s="27">
        <f>'DANH MUC HUYEN'!H649</f>
        <v>0</v>
      </c>
      <c r="I29" s="27">
        <f>'DANH MUC HUYEN'!I649</f>
        <v>0</v>
      </c>
      <c r="J29" s="27">
        <f>'DANH MUC HUYEN'!J649</f>
        <v>3.05</v>
      </c>
      <c r="K29" s="27"/>
      <c r="L29" s="27"/>
      <c r="M29" s="27"/>
      <c r="N29" s="27"/>
      <c r="O29" s="28">
        <f>'DANH MUC HUYEN'!P649</f>
        <v>0</v>
      </c>
      <c r="P29" s="28">
        <f>'DANH MUC HUYEN'!Q649</f>
        <v>0</v>
      </c>
      <c r="Q29" s="27">
        <f>'DANH MUC HUYEN'!R649</f>
        <v>0</v>
      </c>
      <c r="R29" s="27">
        <f>'DANH MUC HUYEN'!S649</f>
        <v>0</v>
      </c>
      <c r="S29" s="27">
        <f>'DANH MUC HUYEN'!T649</f>
        <v>0</v>
      </c>
      <c r="T29" s="27">
        <f>'DANH MUC HUYEN'!U649</f>
        <v>0</v>
      </c>
      <c r="U29" s="27">
        <f>'DANH MUC HUYEN'!V649</f>
        <v>0</v>
      </c>
      <c r="V29" s="27">
        <f>'DANH MUC HUYEN'!W649</f>
        <v>0</v>
      </c>
      <c r="W29" s="27">
        <f>'DANH MUC HUYEN'!X649</f>
        <v>0.4</v>
      </c>
      <c r="X29" s="27">
        <f>'DANH MUC HUYEN'!Y649</f>
        <v>0</v>
      </c>
      <c r="Y29" s="27">
        <f>'DANH MUC HUYEN'!Z649</f>
        <v>1.55</v>
      </c>
      <c r="Z29" s="27">
        <f>'DANH MUC HUYEN'!AA649</f>
        <v>0.12</v>
      </c>
      <c r="AA29" s="27">
        <f>'DANH MUC HUYEN'!AB649</f>
        <v>0</v>
      </c>
      <c r="AB29" s="27">
        <f>'DANH MUC HUYEN'!AC649</f>
        <v>0</v>
      </c>
      <c r="AC29" s="27">
        <f>'DANH MUC HUYEN'!AD649</f>
        <v>0</v>
      </c>
      <c r="AD29" s="27">
        <f>'DANH MUC HUYEN'!AE649</f>
        <v>0</v>
      </c>
      <c r="AE29" s="27">
        <f>'DANH MUC HUYEN'!AF649</f>
        <v>0</v>
      </c>
      <c r="AF29" s="27">
        <f>'DANH MUC HUYEN'!AG649</f>
        <v>0</v>
      </c>
      <c r="AG29" s="27">
        <f>'DANH MUC HUYEN'!AH649</f>
        <v>0</v>
      </c>
      <c r="AH29" s="27">
        <f>'DANH MUC HUYEN'!AI649</f>
        <v>0</v>
      </c>
      <c r="AI29" s="27">
        <f>'DANH MUC HUYEN'!AJ649</f>
        <v>0</v>
      </c>
      <c r="AJ29" s="27">
        <f>'DANH MUC HUYEN'!AK649</f>
        <v>0</v>
      </c>
      <c r="AK29" s="27">
        <f>'DANH MUC HUYEN'!AL649</f>
        <v>0</v>
      </c>
      <c r="AL29" s="27">
        <f>'DANH MUC HUYEN'!AM649</f>
        <v>0</v>
      </c>
      <c r="AM29" s="27">
        <f>'DANH MUC HUYEN'!AN649</f>
        <v>0</v>
      </c>
      <c r="AN29" s="27">
        <f>'DANH MUC HUYEN'!AO649</f>
        <v>0</v>
      </c>
      <c r="AO29" s="27">
        <f>'DANH MUC HUYEN'!AP649</f>
        <v>0</v>
      </c>
      <c r="AP29" s="27">
        <f>'DANH MUC HUYEN'!AQ649</f>
        <v>0</v>
      </c>
      <c r="AQ29" s="27">
        <f>'DANH MUC HUYEN'!AR649</f>
        <v>0</v>
      </c>
      <c r="AR29" s="27">
        <f>'DANH MUC HUYEN'!AS649</f>
        <v>0</v>
      </c>
      <c r="AS29" s="27">
        <f>'DANH MUC HUYEN'!AT649</f>
        <v>0</v>
      </c>
      <c r="AT29" s="27">
        <f>'DANH MUC HUYEN'!AU649</f>
        <v>0</v>
      </c>
      <c r="AU29" s="27">
        <f>'DANH MUC HUYEN'!AV649</f>
        <v>0</v>
      </c>
      <c r="AV29" s="27">
        <f>'DANH MUC HUYEN'!AW649</f>
        <v>0</v>
      </c>
      <c r="AW29" s="27">
        <f>'DANH MUC HUYEN'!AX649</f>
        <v>0</v>
      </c>
      <c r="AX29" s="27">
        <f>'DANH MUC HUYEN'!AY649</f>
        <v>0</v>
      </c>
      <c r="AY29" s="27">
        <f>'DANH MUC HUYEN'!AZ649</f>
        <v>0</v>
      </c>
      <c r="AZ29" s="27">
        <f>'DANH MUC HUYEN'!BA649</f>
        <v>0</v>
      </c>
      <c r="BA29" s="27">
        <f>'DANH MUC HUYEN'!BB649</f>
        <v>0.1</v>
      </c>
      <c r="BB29" s="27">
        <f>'DANH MUC HUYEN'!BC649</f>
        <v>0</v>
      </c>
      <c r="BC29" s="27">
        <f>'DANH MUC HUYEN'!BD649</f>
        <v>0</v>
      </c>
      <c r="BD29" s="27">
        <f>'DANH MUC HUYEN'!BE649</f>
        <v>0.88</v>
      </c>
      <c r="BE29" s="27">
        <f>'DANH MUC HUYEN'!BF649</f>
        <v>0</v>
      </c>
      <c r="BF29" s="27">
        <f>'DANH MUC HUYEN'!BG649</f>
        <v>0</v>
      </c>
      <c r="BG29" s="27">
        <f>'DANH MUC HUYEN'!BH649</f>
        <v>0</v>
      </c>
      <c r="BH29" s="27"/>
      <c r="BI29" s="27"/>
      <c r="BJ29" s="27"/>
      <c r="BK29" s="27"/>
    </row>
    <row r="30" spans="1:63" x14ac:dyDescent="0.35">
      <c r="A30" s="27" t="str">
        <f>'DANH MUC HUYEN'!A661</f>
        <v>XV</v>
      </c>
      <c r="B30" s="27" t="str">
        <f>'DANH MUC HUYEN'!B661</f>
        <v>Đất sinh hoạt cộng đồng</v>
      </c>
      <c r="C30" s="27" t="str">
        <f>'DANH MUC HUYEN'!C661</f>
        <v>DSH</v>
      </c>
      <c r="D30" s="27">
        <f>'DANH MUC HUYEN'!D661</f>
        <v>11.950000000000001</v>
      </c>
      <c r="E30" s="27">
        <f>'DANH MUC HUYEN'!E661</f>
        <v>3.0100000000000002</v>
      </c>
      <c r="F30" s="33">
        <f>'DANH MUC HUYEN'!F661</f>
        <v>8.94</v>
      </c>
      <c r="G30" s="27">
        <f>'DANH MUC HUYEN'!G661</f>
        <v>5.25</v>
      </c>
      <c r="H30" s="27">
        <f>'DANH MUC HUYEN'!H661</f>
        <v>0</v>
      </c>
      <c r="I30" s="27">
        <f>'DANH MUC HUYEN'!I661</f>
        <v>0</v>
      </c>
      <c r="J30" s="27">
        <f>'DANH MUC HUYEN'!J661</f>
        <v>3.69</v>
      </c>
      <c r="K30" s="27"/>
      <c r="L30" s="27"/>
      <c r="M30" s="27"/>
      <c r="N30" s="27"/>
      <c r="O30" s="28">
        <f>'DANH MUC HUYEN'!P661</f>
        <v>0</v>
      </c>
      <c r="P30" s="28">
        <f>'DANH MUC HUYEN'!Q661</f>
        <v>0</v>
      </c>
      <c r="Q30" s="27">
        <f>'DANH MUC HUYEN'!R661</f>
        <v>0</v>
      </c>
      <c r="R30" s="27">
        <f>'DANH MUC HUYEN'!S661</f>
        <v>0</v>
      </c>
      <c r="S30" s="27">
        <f>'DANH MUC HUYEN'!T661</f>
        <v>0</v>
      </c>
      <c r="T30" s="27">
        <f>'DANH MUC HUYEN'!U661</f>
        <v>0</v>
      </c>
      <c r="U30" s="27">
        <f>'DANH MUC HUYEN'!V661</f>
        <v>0</v>
      </c>
      <c r="V30" s="27">
        <f>'DANH MUC HUYEN'!W661</f>
        <v>0</v>
      </c>
      <c r="W30" s="27">
        <f>'DANH MUC HUYEN'!X661</f>
        <v>0.7</v>
      </c>
      <c r="X30" s="27">
        <f>'DANH MUC HUYEN'!Y661</f>
        <v>0.2</v>
      </c>
      <c r="Y30" s="27">
        <f>'DANH MUC HUYEN'!Z661</f>
        <v>0.55000000000000004</v>
      </c>
      <c r="Z30" s="27">
        <f>'DANH MUC HUYEN'!AA661</f>
        <v>0.04</v>
      </c>
      <c r="AA30" s="27">
        <f>'DANH MUC HUYEN'!AB661</f>
        <v>0</v>
      </c>
      <c r="AB30" s="27">
        <f>'DANH MUC HUYEN'!AC661</f>
        <v>0</v>
      </c>
      <c r="AC30" s="27">
        <f>'DANH MUC HUYEN'!AD661</f>
        <v>0</v>
      </c>
      <c r="AD30" s="27">
        <f>'DANH MUC HUYEN'!AE661</f>
        <v>0</v>
      </c>
      <c r="AE30" s="27">
        <f>'DANH MUC HUYEN'!AF661</f>
        <v>0</v>
      </c>
      <c r="AF30" s="27">
        <f>'DANH MUC HUYEN'!AG661</f>
        <v>0</v>
      </c>
      <c r="AG30" s="27">
        <f>'DANH MUC HUYEN'!AH661</f>
        <v>0</v>
      </c>
      <c r="AH30" s="27">
        <f>'DANH MUC HUYEN'!AI661</f>
        <v>0</v>
      </c>
      <c r="AI30" s="27">
        <f>'DANH MUC HUYEN'!AJ661</f>
        <v>0</v>
      </c>
      <c r="AJ30" s="27">
        <f>'DANH MUC HUYEN'!AK661</f>
        <v>0</v>
      </c>
      <c r="AK30" s="27">
        <f>'DANH MUC HUYEN'!AL661</f>
        <v>0</v>
      </c>
      <c r="AL30" s="27">
        <f>'DANH MUC HUYEN'!AM661</f>
        <v>0</v>
      </c>
      <c r="AM30" s="27">
        <f>'DANH MUC HUYEN'!AN661</f>
        <v>0.3</v>
      </c>
      <c r="AN30" s="27">
        <f>'DANH MUC HUYEN'!AO661</f>
        <v>0.56000000000000005</v>
      </c>
      <c r="AO30" s="27">
        <f>'DANH MUC HUYEN'!AP661</f>
        <v>0</v>
      </c>
      <c r="AP30" s="27">
        <f>'DANH MUC HUYEN'!AQ661</f>
        <v>0.2</v>
      </c>
      <c r="AQ30" s="27">
        <f>'DANH MUC HUYEN'!AR661</f>
        <v>0</v>
      </c>
      <c r="AR30" s="27">
        <f>'DANH MUC HUYEN'!AS661</f>
        <v>0</v>
      </c>
      <c r="AS30" s="27">
        <f>'DANH MUC HUYEN'!AT661</f>
        <v>0.04</v>
      </c>
      <c r="AT30" s="27">
        <f>'DANH MUC HUYEN'!AU661</f>
        <v>0</v>
      </c>
      <c r="AU30" s="27">
        <f>'DANH MUC HUYEN'!AV661</f>
        <v>0</v>
      </c>
      <c r="AV30" s="27">
        <f>'DANH MUC HUYEN'!AW661</f>
        <v>0</v>
      </c>
      <c r="AW30" s="27">
        <f>'DANH MUC HUYEN'!AX661</f>
        <v>0</v>
      </c>
      <c r="AX30" s="27">
        <f>'DANH MUC HUYEN'!AY661</f>
        <v>0</v>
      </c>
      <c r="AY30" s="27">
        <f>'DANH MUC HUYEN'!AZ661</f>
        <v>0</v>
      </c>
      <c r="AZ30" s="27">
        <f>'DANH MUC HUYEN'!BA661</f>
        <v>0</v>
      </c>
      <c r="BA30" s="27">
        <f>'DANH MUC HUYEN'!BB661</f>
        <v>0.1</v>
      </c>
      <c r="BB30" s="27">
        <f>'DANH MUC HUYEN'!BC661</f>
        <v>0</v>
      </c>
      <c r="BC30" s="27">
        <f>'DANH MUC HUYEN'!BD661</f>
        <v>0.2</v>
      </c>
      <c r="BD30" s="27">
        <f>'DANH MUC HUYEN'!BE661</f>
        <v>0.8</v>
      </c>
      <c r="BE30" s="27">
        <f>'DANH MUC HUYEN'!BF661</f>
        <v>0</v>
      </c>
      <c r="BF30" s="27">
        <f>'DANH MUC HUYEN'!BG661</f>
        <v>0</v>
      </c>
      <c r="BG30" s="27">
        <f>'DANH MUC HUYEN'!BH661</f>
        <v>0</v>
      </c>
      <c r="BH30" s="27"/>
      <c r="BI30" s="27"/>
      <c r="BJ30" s="27"/>
      <c r="BK30" s="27"/>
    </row>
    <row r="31" spans="1:63" x14ac:dyDescent="0.35">
      <c r="A31" s="27" t="str">
        <f>'DANH MUC HUYEN'!A680</f>
        <v>XVI</v>
      </c>
      <c r="B31" s="27" t="str">
        <f>'DANH MUC HUYEN'!B680</f>
        <v>Đất khu vui chơi, giải trí công cộng</v>
      </c>
      <c r="C31" s="27" t="str">
        <f>'DANH MUC HUYEN'!C680</f>
        <v>DKV</v>
      </c>
      <c r="D31" s="27">
        <f>'DANH MUC HUYEN'!D680</f>
        <v>12.850000000000001</v>
      </c>
      <c r="E31" s="27">
        <f>'DANH MUC HUYEN'!E680</f>
        <v>0.28000000000000003</v>
      </c>
      <c r="F31" s="33">
        <f>'DANH MUC HUYEN'!F680</f>
        <v>12.57</v>
      </c>
      <c r="G31" s="27">
        <f>'DANH MUC HUYEN'!G680</f>
        <v>5.68</v>
      </c>
      <c r="H31" s="27">
        <f>'DANH MUC HUYEN'!H680</f>
        <v>0</v>
      </c>
      <c r="I31" s="27">
        <f>'DANH MUC HUYEN'!I680</f>
        <v>0</v>
      </c>
      <c r="J31" s="27">
        <f>'DANH MUC HUYEN'!J680</f>
        <v>6.8900000000000006</v>
      </c>
      <c r="K31" s="27"/>
      <c r="L31" s="27"/>
      <c r="M31" s="27"/>
      <c r="N31" s="27"/>
      <c r="O31" s="28">
        <f>'DANH MUC HUYEN'!P680</f>
        <v>0</v>
      </c>
      <c r="P31" s="28">
        <f>'DANH MUC HUYEN'!Q680</f>
        <v>0</v>
      </c>
      <c r="Q31" s="27">
        <f>'DANH MUC HUYEN'!R680</f>
        <v>0</v>
      </c>
      <c r="R31" s="27">
        <f>'DANH MUC HUYEN'!S680</f>
        <v>0</v>
      </c>
      <c r="S31" s="27">
        <f>'DANH MUC HUYEN'!T680</f>
        <v>0</v>
      </c>
      <c r="T31" s="27">
        <f>'DANH MUC HUYEN'!U680</f>
        <v>0</v>
      </c>
      <c r="U31" s="27">
        <f>'DANH MUC HUYEN'!V680</f>
        <v>0</v>
      </c>
      <c r="V31" s="27">
        <f>'DANH MUC HUYEN'!W680</f>
        <v>0</v>
      </c>
      <c r="W31" s="27">
        <f>'DANH MUC HUYEN'!X680</f>
        <v>0</v>
      </c>
      <c r="X31" s="27">
        <f>'DANH MUC HUYEN'!Y680</f>
        <v>0</v>
      </c>
      <c r="Y31" s="27">
        <f>'DANH MUC HUYEN'!Z680</f>
        <v>1.18</v>
      </c>
      <c r="Z31" s="27">
        <f>'DANH MUC HUYEN'!AA680</f>
        <v>0.26</v>
      </c>
      <c r="AA31" s="27">
        <f>'DANH MUC HUYEN'!AB680</f>
        <v>3.67</v>
      </c>
      <c r="AB31" s="27">
        <f>'DANH MUC HUYEN'!AC680</f>
        <v>0</v>
      </c>
      <c r="AC31" s="27">
        <f>'DANH MUC HUYEN'!AD680</f>
        <v>0</v>
      </c>
      <c r="AD31" s="27">
        <f>'DANH MUC HUYEN'!AE680</f>
        <v>0</v>
      </c>
      <c r="AE31" s="27">
        <f>'DANH MUC HUYEN'!AF680</f>
        <v>0</v>
      </c>
      <c r="AF31" s="27">
        <f>'DANH MUC HUYEN'!AG680</f>
        <v>0.38</v>
      </c>
      <c r="AG31" s="27">
        <f>'DANH MUC HUYEN'!AH680</f>
        <v>0</v>
      </c>
      <c r="AH31" s="27">
        <f>'DANH MUC HUYEN'!AI680</f>
        <v>0</v>
      </c>
      <c r="AI31" s="27">
        <f>'DANH MUC HUYEN'!AJ680</f>
        <v>0</v>
      </c>
      <c r="AJ31" s="27">
        <f>'DANH MUC HUYEN'!AK680</f>
        <v>0</v>
      </c>
      <c r="AK31" s="27">
        <f>'DANH MUC HUYEN'!AL680</f>
        <v>0</v>
      </c>
      <c r="AL31" s="27">
        <f>'DANH MUC HUYEN'!AM680</f>
        <v>0</v>
      </c>
      <c r="AM31" s="27">
        <f>'DANH MUC HUYEN'!AN680</f>
        <v>0</v>
      </c>
      <c r="AN31" s="27">
        <f>'DANH MUC HUYEN'!AO680</f>
        <v>0</v>
      </c>
      <c r="AO31" s="27">
        <f>'DANH MUC HUYEN'!AP680</f>
        <v>0</v>
      </c>
      <c r="AP31" s="27">
        <f>'DANH MUC HUYEN'!AQ680</f>
        <v>0.51</v>
      </c>
      <c r="AQ31" s="27">
        <f>'DANH MUC HUYEN'!AR680</f>
        <v>0.15000000000000002</v>
      </c>
      <c r="AR31" s="27">
        <f>'DANH MUC HUYEN'!AS680</f>
        <v>0</v>
      </c>
      <c r="AS31" s="27">
        <f>'DANH MUC HUYEN'!AT680</f>
        <v>0</v>
      </c>
      <c r="AT31" s="27">
        <f>'DANH MUC HUYEN'!AU680</f>
        <v>0</v>
      </c>
      <c r="AU31" s="27">
        <f>'DANH MUC HUYEN'!AV680</f>
        <v>0</v>
      </c>
      <c r="AV31" s="27">
        <f>'DANH MUC HUYEN'!AW680</f>
        <v>0</v>
      </c>
      <c r="AW31" s="27">
        <f>'DANH MUC HUYEN'!AX680</f>
        <v>0</v>
      </c>
      <c r="AX31" s="27">
        <f>'DANH MUC HUYEN'!AY680</f>
        <v>0</v>
      </c>
      <c r="AY31" s="27">
        <f>'DANH MUC HUYEN'!AZ680</f>
        <v>0</v>
      </c>
      <c r="AZ31" s="27">
        <f>'DANH MUC HUYEN'!BA680</f>
        <v>0</v>
      </c>
      <c r="BA31" s="27">
        <f>'DANH MUC HUYEN'!BB680</f>
        <v>0</v>
      </c>
      <c r="BB31" s="27">
        <f>'DANH MUC HUYEN'!BC680</f>
        <v>0</v>
      </c>
      <c r="BC31" s="27">
        <f>'DANH MUC HUYEN'!BD680</f>
        <v>0.32</v>
      </c>
      <c r="BD31" s="27">
        <f>'DANH MUC HUYEN'!BE680</f>
        <v>0.42000000000000004</v>
      </c>
      <c r="BE31" s="27">
        <f>'DANH MUC HUYEN'!BF680</f>
        <v>0</v>
      </c>
      <c r="BF31" s="27">
        <f>'DANH MUC HUYEN'!BG680</f>
        <v>0</v>
      </c>
      <c r="BG31" s="27">
        <f>'DANH MUC HUYEN'!BH680</f>
        <v>0</v>
      </c>
      <c r="BH31" s="27"/>
      <c r="BI31" s="27"/>
      <c r="BJ31" s="27"/>
      <c r="BK31" s="27"/>
    </row>
    <row r="32" spans="1:63" x14ac:dyDescent="0.35">
      <c r="A32" s="27" t="str">
        <f>'DANH MUC HUYEN'!A694</f>
        <v>XVII</v>
      </c>
      <c r="B32" s="27" t="str">
        <f>'DANH MUC HUYEN'!B694</f>
        <v>Đất ở tại nông thôn</v>
      </c>
      <c r="C32" s="27" t="str">
        <f>'DANH MUC HUYEN'!C694</f>
        <v>ONT</v>
      </c>
      <c r="D32" s="27">
        <f>'DANH MUC HUYEN'!D694</f>
        <v>1340.5099999999998</v>
      </c>
      <c r="E32" s="27">
        <f>'DANH MUC HUYEN'!E694</f>
        <v>0</v>
      </c>
      <c r="F32" s="38">
        <f>'DANH MUC HUYEN'!F694</f>
        <v>1340.5099999999998</v>
      </c>
      <c r="G32" s="27">
        <f>'DANH MUC HUYEN'!G694</f>
        <v>798.00000000000023</v>
      </c>
      <c r="H32" s="27">
        <f>'DANH MUC HUYEN'!H694</f>
        <v>9.5</v>
      </c>
      <c r="I32" s="27">
        <f>'DANH MUC HUYEN'!I694</f>
        <v>0</v>
      </c>
      <c r="J32" s="27">
        <f>'DANH MUC HUYEN'!J694</f>
        <v>534.51000000000022</v>
      </c>
      <c r="K32" s="27"/>
      <c r="L32" s="27"/>
      <c r="M32" s="27"/>
      <c r="N32" s="27"/>
      <c r="O32" s="28">
        <f>'DANH MUC HUYEN'!P694</f>
        <v>0</v>
      </c>
      <c r="P32" s="28">
        <f>'DANH MUC HUYEN'!Q694</f>
        <v>9.06</v>
      </c>
      <c r="Q32" s="27">
        <f>'DANH MUC HUYEN'!R694</f>
        <v>0.44</v>
      </c>
      <c r="R32" s="27">
        <f>'DANH MUC HUYEN'!S694</f>
        <v>0</v>
      </c>
      <c r="S32" s="27">
        <f>'DANH MUC HUYEN'!T694</f>
        <v>0</v>
      </c>
      <c r="T32" s="27">
        <f>'DANH MUC HUYEN'!U694</f>
        <v>0</v>
      </c>
      <c r="U32" s="27">
        <f>'DANH MUC HUYEN'!V694</f>
        <v>0</v>
      </c>
      <c r="V32" s="27">
        <f>'DANH MUC HUYEN'!W694</f>
        <v>0</v>
      </c>
      <c r="W32" s="27">
        <f>'DANH MUC HUYEN'!X694</f>
        <v>46.599999999999994</v>
      </c>
      <c r="X32" s="27">
        <f>'DANH MUC HUYEN'!Y694</f>
        <v>0</v>
      </c>
      <c r="Y32" s="27">
        <f>'DANH MUC HUYEN'!Z694</f>
        <v>150.26000000000008</v>
      </c>
      <c r="Z32" s="27">
        <f>'DANH MUC HUYEN'!AA694</f>
        <v>97.169999999999973</v>
      </c>
      <c r="AA32" s="27">
        <f>'DANH MUC HUYEN'!AB694</f>
        <v>18.61</v>
      </c>
      <c r="AB32" s="27">
        <f>'DANH MUC HUYEN'!AC694</f>
        <v>0</v>
      </c>
      <c r="AC32" s="27">
        <f>'DANH MUC HUYEN'!AD694</f>
        <v>7.35</v>
      </c>
      <c r="AD32" s="27">
        <f>'DANH MUC HUYEN'!AE694</f>
        <v>20.75</v>
      </c>
      <c r="AE32" s="27">
        <f>'DANH MUC HUYEN'!AF694</f>
        <v>0</v>
      </c>
      <c r="AF32" s="27">
        <f>'DANH MUC HUYEN'!AG694</f>
        <v>1.38</v>
      </c>
      <c r="AG32" s="27">
        <f>'DANH MUC HUYEN'!AH694</f>
        <v>0</v>
      </c>
      <c r="AH32" s="27">
        <f>'DANH MUC HUYEN'!AI694</f>
        <v>0</v>
      </c>
      <c r="AI32" s="27">
        <f>'DANH MUC HUYEN'!AJ694</f>
        <v>0</v>
      </c>
      <c r="AJ32" s="27">
        <f>'DANH MUC HUYEN'!AK694</f>
        <v>0</v>
      </c>
      <c r="AK32" s="27">
        <f>'DANH MUC HUYEN'!AL694</f>
        <v>0</v>
      </c>
      <c r="AL32" s="27">
        <f>'DANH MUC HUYEN'!AM694</f>
        <v>0.26</v>
      </c>
      <c r="AM32" s="27">
        <f>'DANH MUC HUYEN'!AN694</f>
        <v>0</v>
      </c>
      <c r="AN32" s="27">
        <f>'DANH MUC HUYEN'!AO694</f>
        <v>8.7399999999999984</v>
      </c>
      <c r="AO32" s="27">
        <f>'DANH MUC HUYEN'!AP694</f>
        <v>0</v>
      </c>
      <c r="AP32" s="27">
        <f>'DANH MUC HUYEN'!AQ694</f>
        <v>62.38</v>
      </c>
      <c r="AQ32" s="27">
        <f>'DANH MUC HUYEN'!AR694</f>
        <v>22.509999999999998</v>
      </c>
      <c r="AR32" s="27">
        <f>'DANH MUC HUYEN'!AS694</f>
        <v>0</v>
      </c>
      <c r="AS32" s="27">
        <f>'DANH MUC HUYEN'!AT694</f>
        <v>0</v>
      </c>
      <c r="AT32" s="27">
        <f>'DANH MUC HUYEN'!AU694</f>
        <v>0</v>
      </c>
      <c r="AU32" s="27">
        <f>'DANH MUC HUYEN'!AV694</f>
        <v>0</v>
      </c>
      <c r="AV32" s="27">
        <f>'DANH MUC HUYEN'!AW694</f>
        <v>2.1300000000000003</v>
      </c>
      <c r="AW32" s="27">
        <f>'DANH MUC HUYEN'!AX694</f>
        <v>0</v>
      </c>
      <c r="AX32" s="27">
        <f>'DANH MUC HUYEN'!AY694</f>
        <v>0</v>
      </c>
      <c r="AY32" s="27">
        <f>'DANH MUC HUYEN'!AZ694</f>
        <v>0</v>
      </c>
      <c r="AZ32" s="27">
        <f>'DANH MUC HUYEN'!BA694</f>
        <v>1</v>
      </c>
      <c r="BA32" s="27">
        <f>'DANH MUC HUYEN'!BB694</f>
        <v>0.49</v>
      </c>
      <c r="BB32" s="27">
        <f>'DANH MUC HUYEN'!BC694</f>
        <v>5.16</v>
      </c>
      <c r="BC32" s="27">
        <f>'DANH MUC HUYEN'!BD694</f>
        <v>4.22</v>
      </c>
      <c r="BD32" s="27">
        <f>'DANH MUC HUYEN'!BE694</f>
        <v>83.469999999999942</v>
      </c>
      <c r="BE32" s="27">
        <f>'DANH MUC HUYEN'!BF694</f>
        <v>0.22999999999999998</v>
      </c>
      <c r="BF32" s="27">
        <f>'DANH MUC HUYEN'!BG694</f>
        <v>1.8</v>
      </c>
      <c r="BG32" s="27">
        <f>'DANH MUC HUYEN'!BH694</f>
        <v>0</v>
      </c>
      <c r="BH32" s="27"/>
      <c r="BI32" s="27"/>
      <c r="BJ32" s="27"/>
      <c r="BK32" s="27"/>
    </row>
    <row r="33" spans="1:63" x14ac:dyDescent="0.35">
      <c r="A33" s="27" t="str">
        <f>'DANH MUC HUYEN'!A934</f>
        <v>XVIII</v>
      </c>
      <c r="B33" s="27" t="str">
        <f>'DANH MUC HUYEN'!B934</f>
        <v>Đất ở tại đô thị</v>
      </c>
      <c r="C33" s="27" t="str">
        <f>'DANH MUC HUYEN'!C934</f>
        <v>ODT</v>
      </c>
      <c r="D33" s="27">
        <f>'DANH MUC HUYEN'!D934</f>
        <v>89.699999999999989</v>
      </c>
      <c r="E33" s="27">
        <f>'DANH MUC HUYEN'!E934</f>
        <v>0</v>
      </c>
      <c r="F33" s="38">
        <f>'DANH MUC HUYEN'!F934</f>
        <v>89.699999999999989</v>
      </c>
      <c r="G33" s="27">
        <f>'DANH MUC HUYEN'!G934</f>
        <v>67.34</v>
      </c>
      <c r="H33" s="27">
        <f>'DANH MUC HUYEN'!H934</f>
        <v>0</v>
      </c>
      <c r="I33" s="27">
        <f>'DANH MUC HUYEN'!I934</f>
        <v>0</v>
      </c>
      <c r="J33" s="27">
        <f>'DANH MUC HUYEN'!J934</f>
        <v>22.36</v>
      </c>
      <c r="K33" s="27"/>
      <c r="L33" s="27"/>
      <c r="M33" s="27"/>
      <c r="N33" s="27"/>
      <c r="O33" s="28">
        <f>'DANH MUC HUYEN'!P934</f>
        <v>0</v>
      </c>
      <c r="P33" s="28">
        <f>'DANH MUC HUYEN'!Q934</f>
        <v>0</v>
      </c>
      <c r="Q33" s="27">
        <f>'DANH MUC HUYEN'!R934</f>
        <v>0</v>
      </c>
      <c r="R33" s="27">
        <f>'DANH MUC HUYEN'!S934</f>
        <v>0</v>
      </c>
      <c r="S33" s="27">
        <f>'DANH MUC HUYEN'!T934</f>
        <v>0</v>
      </c>
      <c r="T33" s="27">
        <f>'DANH MUC HUYEN'!U934</f>
        <v>0</v>
      </c>
      <c r="U33" s="27">
        <f>'DANH MUC HUYEN'!V934</f>
        <v>0</v>
      </c>
      <c r="V33" s="27">
        <f>'DANH MUC HUYEN'!W934</f>
        <v>0</v>
      </c>
      <c r="W33" s="27">
        <f>'DANH MUC HUYEN'!X934</f>
        <v>0</v>
      </c>
      <c r="X33" s="27">
        <f>'DANH MUC HUYEN'!Y934</f>
        <v>0</v>
      </c>
      <c r="Y33" s="27">
        <f>'DANH MUC HUYEN'!Z934</f>
        <v>2.67</v>
      </c>
      <c r="Z33" s="27">
        <f>'DANH MUC HUYEN'!AA934</f>
        <v>11.8</v>
      </c>
      <c r="AA33" s="27">
        <f>'DANH MUC HUYEN'!AB934</f>
        <v>0</v>
      </c>
      <c r="AB33" s="27">
        <f>'DANH MUC HUYEN'!AC934</f>
        <v>0</v>
      </c>
      <c r="AC33" s="27">
        <f>'DANH MUC HUYEN'!AD934</f>
        <v>0</v>
      </c>
      <c r="AD33" s="27">
        <f>'DANH MUC HUYEN'!AE934</f>
        <v>0</v>
      </c>
      <c r="AE33" s="27">
        <f>'DANH MUC HUYEN'!AF934</f>
        <v>0</v>
      </c>
      <c r="AF33" s="27">
        <f>'DANH MUC HUYEN'!AG934</f>
        <v>0</v>
      </c>
      <c r="AG33" s="27">
        <f>'DANH MUC HUYEN'!AH934</f>
        <v>0</v>
      </c>
      <c r="AH33" s="27">
        <f>'DANH MUC HUYEN'!AI934</f>
        <v>0</v>
      </c>
      <c r="AI33" s="27">
        <f>'DANH MUC HUYEN'!AJ934</f>
        <v>0</v>
      </c>
      <c r="AJ33" s="27">
        <f>'DANH MUC HUYEN'!AK934</f>
        <v>0</v>
      </c>
      <c r="AK33" s="27">
        <f>'DANH MUC HUYEN'!AL934</f>
        <v>0</v>
      </c>
      <c r="AL33" s="27">
        <f>'DANH MUC HUYEN'!AM934</f>
        <v>0.17</v>
      </c>
      <c r="AM33" s="27">
        <f>'DANH MUC HUYEN'!AN934</f>
        <v>0</v>
      </c>
      <c r="AN33" s="27">
        <f>'DANH MUC HUYEN'!AO934</f>
        <v>0</v>
      </c>
      <c r="AO33" s="27">
        <f>'DANH MUC HUYEN'!AP934</f>
        <v>0</v>
      </c>
      <c r="AP33" s="27">
        <f>'DANH MUC HUYEN'!AQ934</f>
        <v>5.85</v>
      </c>
      <c r="AQ33" s="27">
        <f>'DANH MUC HUYEN'!AR934</f>
        <v>0</v>
      </c>
      <c r="AR33" s="27">
        <f>'DANH MUC HUYEN'!AS934</f>
        <v>0</v>
      </c>
      <c r="AS33" s="27">
        <f>'DANH MUC HUYEN'!AT934</f>
        <v>0</v>
      </c>
      <c r="AT33" s="27">
        <f>'DANH MUC HUYEN'!AU934</f>
        <v>0</v>
      </c>
      <c r="AU33" s="27">
        <f>'DANH MUC HUYEN'!AV934</f>
        <v>0</v>
      </c>
      <c r="AV33" s="27">
        <f>'DANH MUC HUYEN'!AW934</f>
        <v>0.22</v>
      </c>
      <c r="AW33" s="27">
        <f>'DANH MUC HUYEN'!AX934</f>
        <v>0</v>
      </c>
      <c r="AX33" s="27">
        <f>'DANH MUC HUYEN'!AY934</f>
        <v>0</v>
      </c>
      <c r="AY33" s="27">
        <f>'DANH MUC HUYEN'!AZ934</f>
        <v>0</v>
      </c>
      <c r="AZ33" s="27">
        <f>'DANH MUC HUYEN'!BA934</f>
        <v>0</v>
      </c>
      <c r="BA33" s="27">
        <f>'DANH MUC HUYEN'!BB934</f>
        <v>0.55000000000000004</v>
      </c>
      <c r="BB33" s="27">
        <f>'DANH MUC HUYEN'!BC934</f>
        <v>0</v>
      </c>
      <c r="BC33" s="27">
        <f>'DANH MUC HUYEN'!BD934</f>
        <v>0</v>
      </c>
      <c r="BD33" s="27">
        <f>'DANH MUC HUYEN'!BE934</f>
        <v>1.1000000000000001</v>
      </c>
      <c r="BE33" s="27">
        <f>'DANH MUC HUYEN'!BF934</f>
        <v>0</v>
      </c>
      <c r="BF33" s="27">
        <f>'DANH MUC HUYEN'!BG934</f>
        <v>0</v>
      </c>
      <c r="BG33" s="27">
        <f>'DANH MUC HUYEN'!BH934</f>
        <v>0</v>
      </c>
      <c r="BH33" s="27"/>
      <c r="BI33" s="27"/>
      <c r="BJ33" s="27"/>
      <c r="BK33" s="27"/>
    </row>
    <row r="34" spans="1:63" x14ac:dyDescent="0.35">
      <c r="A34" s="27" t="str">
        <f>'DANH MUC HUYEN'!A947</f>
        <v>XIX</v>
      </c>
      <c r="B34" s="27" t="str">
        <f>'DANH MUC HUYEN'!B947</f>
        <v>Đất xây dựng trụ sở cơ quan</v>
      </c>
      <c r="C34" s="27" t="str">
        <f>'DANH MUC HUYEN'!C947</f>
        <v>TSC</v>
      </c>
      <c r="D34" s="27">
        <f>'DANH MUC HUYEN'!D947</f>
        <v>36.47</v>
      </c>
      <c r="E34" s="27">
        <f>'DANH MUC HUYEN'!E947</f>
        <v>0.8</v>
      </c>
      <c r="F34" s="33">
        <f>'DANH MUC HUYEN'!F947</f>
        <v>35.67</v>
      </c>
      <c r="G34" s="27">
        <f>'DANH MUC HUYEN'!G947</f>
        <v>24.05</v>
      </c>
      <c r="H34" s="27">
        <f>'DANH MUC HUYEN'!H947</f>
        <v>0</v>
      </c>
      <c r="I34" s="27">
        <f>'DANH MUC HUYEN'!I947</f>
        <v>0</v>
      </c>
      <c r="J34" s="27">
        <f>'DANH MUC HUYEN'!J947</f>
        <v>11.619999999999997</v>
      </c>
      <c r="K34" s="27"/>
      <c r="L34" s="27"/>
      <c r="M34" s="27"/>
      <c r="N34" s="27"/>
      <c r="O34" s="28">
        <f>'DANH MUC HUYEN'!P947</f>
        <v>0</v>
      </c>
      <c r="P34" s="28">
        <f>'DANH MUC HUYEN'!Q947</f>
        <v>0</v>
      </c>
      <c r="Q34" s="27">
        <f>'DANH MUC HUYEN'!R947</f>
        <v>0</v>
      </c>
      <c r="R34" s="27">
        <f>'DANH MUC HUYEN'!S947</f>
        <v>0</v>
      </c>
      <c r="S34" s="27">
        <f>'DANH MUC HUYEN'!T947</f>
        <v>0</v>
      </c>
      <c r="T34" s="27">
        <f>'DANH MUC HUYEN'!U947</f>
        <v>0</v>
      </c>
      <c r="U34" s="27">
        <f>'DANH MUC HUYEN'!V947</f>
        <v>0</v>
      </c>
      <c r="V34" s="27">
        <f>'DANH MUC HUYEN'!W947</f>
        <v>0</v>
      </c>
      <c r="W34" s="27">
        <f>'DANH MUC HUYEN'!X947</f>
        <v>0</v>
      </c>
      <c r="X34" s="27">
        <f>'DANH MUC HUYEN'!Y947</f>
        <v>0</v>
      </c>
      <c r="Y34" s="27">
        <f>'DANH MUC HUYEN'!Z947</f>
        <v>6.7799999999999985</v>
      </c>
      <c r="Z34" s="27">
        <f>'DANH MUC HUYEN'!AA947</f>
        <v>0</v>
      </c>
      <c r="AA34" s="27">
        <f>'DANH MUC HUYEN'!AB947</f>
        <v>0</v>
      </c>
      <c r="AB34" s="27">
        <f>'DANH MUC HUYEN'!AC947</f>
        <v>0</v>
      </c>
      <c r="AC34" s="27">
        <f>'DANH MUC HUYEN'!AD947</f>
        <v>3.37</v>
      </c>
      <c r="AD34" s="27">
        <f>'DANH MUC HUYEN'!AE947</f>
        <v>0</v>
      </c>
      <c r="AE34" s="27">
        <f>'DANH MUC HUYEN'!AF947</f>
        <v>0</v>
      </c>
      <c r="AF34" s="27">
        <f>'DANH MUC HUYEN'!AG947</f>
        <v>0</v>
      </c>
      <c r="AG34" s="27">
        <f>'DANH MUC HUYEN'!AH947</f>
        <v>0</v>
      </c>
      <c r="AH34" s="27">
        <f>'DANH MUC HUYEN'!AI947</f>
        <v>0</v>
      </c>
      <c r="AI34" s="27">
        <f>'DANH MUC HUYEN'!AJ947</f>
        <v>0</v>
      </c>
      <c r="AJ34" s="27">
        <f>'DANH MUC HUYEN'!AK947</f>
        <v>0</v>
      </c>
      <c r="AK34" s="27">
        <f>'DANH MUC HUYEN'!AL947</f>
        <v>0</v>
      </c>
      <c r="AL34" s="27">
        <f>'DANH MUC HUYEN'!AM947</f>
        <v>0</v>
      </c>
      <c r="AM34" s="27">
        <f>'DANH MUC HUYEN'!AN947</f>
        <v>0</v>
      </c>
      <c r="AN34" s="27">
        <f>'DANH MUC HUYEN'!AO947</f>
        <v>0</v>
      </c>
      <c r="AO34" s="27">
        <f>'DANH MUC HUYEN'!AP947</f>
        <v>0</v>
      </c>
      <c r="AP34" s="27">
        <f>'DANH MUC HUYEN'!AQ947</f>
        <v>0.37</v>
      </c>
      <c r="AQ34" s="27">
        <f>'DANH MUC HUYEN'!AR947</f>
        <v>0</v>
      </c>
      <c r="AR34" s="27">
        <f>'DANH MUC HUYEN'!AS947</f>
        <v>0</v>
      </c>
      <c r="AS34" s="27">
        <f>'DANH MUC HUYEN'!AT947</f>
        <v>0</v>
      </c>
      <c r="AT34" s="27">
        <f>'DANH MUC HUYEN'!AU947</f>
        <v>0</v>
      </c>
      <c r="AU34" s="27">
        <f>'DANH MUC HUYEN'!AV947</f>
        <v>0</v>
      </c>
      <c r="AV34" s="27">
        <f>'DANH MUC HUYEN'!AW947</f>
        <v>0</v>
      </c>
      <c r="AW34" s="27">
        <f>'DANH MUC HUYEN'!AX947</f>
        <v>0</v>
      </c>
      <c r="AX34" s="27">
        <f>'DANH MUC HUYEN'!AY947</f>
        <v>0</v>
      </c>
      <c r="AY34" s="27">
        <f>'DANH MUC HUYEN'!AZ947</f>
        <v>0</v>
      </c>
      <c r="AZ34" s="27">
        <f>'DANH MUC HUYEN'!BA947</f>
        <v>0</v>
      </c>
      <c r="BA34" s="27">
        <f>'DANH MUC HUYEN'!BB947</f>
        <v>0</v>
      </c>
      <c r="BB34" s="27">
        <f>'DANH MUC HUYEN'!BC947</f>
        <v>0</v>
      </c>
      <c r="BC34" s="27">
        <f>'DANH MUC HUYEN'!BD947</f>
        <v>0.5</v>
      </c>
      <c r="BD34" s="27">
        <f>'DANH MUC HUYEN'!BE947</f>
        <v>0.6</v>
      </c>
      <c r="BE34" s="27">
        <f>'DANH MUC HUYEN'!BF947</f>
        <v>0</v>
      </c>
      <c r="BF34" s="27">
        <f>'DANH MUC HUYEN'!BG947</f>
        <v>0</v>
      </c>
      <c r="BG34" s="27">
        <f>'DANH MUC HUYEN'!BH947</f>
        <v>0</v>
      </c>
      <c r="BH34" s="27"/>
      <c r="BI34" s="27"/>
      <c r="BJ34" s="27"/>
      <c r="BK34" s="27"/>
    </row>
    <row r="35" spans="1:63" x14ac:dyDescent="0.35">
      <c r="A35" s="27" t="str">
        <f>'DANH MUC HUYEN'!A953</f>
        <v>XX</v>
      </c>
      <c r="B35" s="27" t="str">
        <f>'DANH MUC HUYEN'!B953</f>
        <v>Đất tín ngưỡng</v>
      </c>
      <c r="C35" s="27" t="str">
        <f>'DANH MUC HUYEN'!C953</f>
        <v>TIN</v>
      </c>
      <c r="D35" s="27">
        <f>'DANH MUC HUYEN'!D953</f>
        <v>10.070000000000002</v>
      </c>
      <c r="E35" s="27">
        <f>'DANH MUC HUYEN'!E953</f>
        <v>2.5</v>
      </c>
      <c r="F35" s="33">
        <f>'DANH MUC HUYEN'!F953</f>
        <v>7.57</v>
      </c>
      <c r="G35" s="27">
        <f>'DANH MUC HUYEN'!G953</f>
        <v>2.0700000000000003</v>
      </c>
      <c r="H35" s="27">
        <f>'DANH MUC HUYEN'!H953</f>
        <v>0</v>
      </c>
      <c r="I35" s="27">
        <f>'DANH MUC HUYEN'!I953</f>
        <v>0</v>
      </c>
      <c r="J35" s="27">
        <f>'DANH MUC HUYEN'!J953</f>
        <v>5.5000000000000009</v>
      </c>
      <c r="K35" s="27"/>
      <c r="L35" s="27"/>
      <c r="M35" s="27"/>
      <c r="N35" s="27"/>
      <c r="O35" s="28">
        <f>'DANH MUC HUYEN'!P953</f>
        <v>0</v>
      </c>
      <c r="P35" s="28">
        <f>'DANH MUC HUYEN'!Q953</f>
        <v>0</v>
      </c>
      <c r="Q35" s="27">
        <f>'DANH MUC HUYEN'!R953</f>
        <v>0</v>
      </c>
      <c r="R35" s="27">
        <f>'DANH MUC HUYEN'!S953</f>
        <v>0</v>
      </c>
      <c r="S35" s="27">
        <f>'DANH MUC HUYEN'!T953</f>
        <v>0</v>
      </c>
      <c r="T35" s="27">
        <f>'DANH MUC HUYEN'!U953</f>
        <v>0</v>
      </c>
      <c r="U35" s="27">
        <f>'DANH MUC HUYEN'!V953</f>
        <v>0</v>
      </c>
      <c r="V35" s="27">
        <f>'DANH MUC HUYEN'!W953</f>
        <v>0</v>
      </c>
      <c r="W35" s="27">
        <f>'DANH MUC HUYEN'!X953</f>
        <v>0.4</v>
      </c>
      <c r="X35" s="27">
        <f>'DANH MUC HUYEN'!Y953</f>
        <v>0</v>
      </c>
      <c r="Y35" s="27">
        <f>'DANH MUC HUYEN'!Z953</f>
        <v>2.75</v>
      </c>
      <c r="Z35" s="27">
        <f>'DANH MUC HUYEN'!AA953</f>
        <v>0.34</v>
      </c>
      <c r="AA35" s="27">
        <f>'DANH MUC HUYEN'!AB953</f>
        <v>0</v>
      </c>
      <c r="AB35" s="27">
        <f>'DANH MUC HUYEN'!AC953</f>
        <v>0</v>
      </c>
      <c r="AC35" s="27">
        <f>'DANH MUC HUYEN'!AD953</f>
        <v>0</v>
      </c>
      <c r="AD35" s="27">
        <f>'DANH MUC HUYEN'!AE953</f>
        <v>0</v>
      </c>
      <c r="AE35" s="27">
        <f>'DANH MUC HUYEN'!AF953</f>
        <v>0</v>
      </c>
      <c r="AF35" s="27">
        <f>'DANH MUC HUYEN'!AG953</f>
        <v>0</v>
      </c>
      <c r="AG35" s="27">
        <f>'DANH MUC HUYEN'!AH953</f>
        <v>0</v>
      </c>
      <c r="AH35" s="27">
        <f>'DANH MUC HUYEN'!AI953</f>
        <v>0</v>
      </c>
      <c r="AI35" s="27">
        <f>'DANH MUC HUYEN'!AJ953</f>
        <v>0</v>
      </c>
      <c r="AJ35" s="27">
        <f>'DANH MUC HUYEN'!AK953</f>
        <v>0</v>
      </c>
      <c r="AK35" s="27">
        <f>'DANH MUC HUYEN'!AL953</f>
        <v>0</v>
      </c>
      <c r="AL35" s="27">
        <f>'DANH MUC HUYEN'!AM953</f>
        <v>0</v>
      </c>
      <c r="AM35" s="27">
        <f>'DANH MUC HUYEN'!AN953</f>
        <v>0</v>
      </c>
      <c r="AN35" s="27">
        <f>'DANH MUC HUYEN'!AO953</f>
        <v>0</v>
      </c>
      <c r="AO35" s="27">
        <f>'DANH MUC HUYEN'!AP953</f>
        <v>0</v>
      </c>
      <c r="AP35" s="27">
        <f>'DANH MUC HUYEN'!AQ953</f>
        <v>0.05</v>
      </c>
      <c r="AQ35" s="27">
        <f>'DANH MUC HUYEN'!AR953</f>
        <v>0.03</v>
      </c>
      <c r="AR35" s="27">
        <f>'DANH MUC HUYEN'!AS953</f>
        <v>0</v>
      </c>
      <c r="AS35" s="27">
        <f>'DANH MUC HUYEN'!AT953</f>
        <v>0</v>
      </c>
      <c r="AT35" s="27">
        <f>'DANH MUC HUYEN'!AU953</f>
        <v>0</v>
      </c>
      <c r="AU35" s="27">
        <f>'DANH MUC HUYEN'!AV953</f>
        <v>0.38</v>
      </c>
      <c r="AV35" s="27">
        <f>'DANH MUC HUYEN'!AW953</f>
        <v>0</v>
      </c>
      <c r="AW35" s="27">
        <f>'DANH MUC HUYEN'!AX953</f>
        <v>0</v>
      </c>
      <c r="AX35" s="27">
        <f>'DANH MUC HUYEN'!AY953</f>
        <v>0</v>
      </c>
      <c r="AY35" s="27">
        <f>'DANH MUC HUYEN'!AZ953</f>
        <v>0</v>
      </c>
      <c r="AZ35" s="27">
        <f>'DANH MUC HUYEN'!BA953</f>
        <v>0</v>
      </c>
      <c r="BA35" s="27">
        <f>'DANH MUC HUYEN'!BB953</f>
        <v>0</v>
      </c>
      <c r="BB35" s="27">
        <f>'DANH MUC HUYEN'!BC953</f>
        <v>0</v>
      </c>
      <c r="BC35" s="27">
        <f>'DANH MUC HUYEN'!BD953</f>
        <v>0.15</v>
      </c>
      <c r="BD35" s="27">
        <f>'DANH MUC HUYEN'!BE953</f>
        <v>1.4000000000000001</v>
      </c>
      <c r="BE35" s="27">
        <f>'DANH MUC HUYEN'!BF953</f>
        <v>0</v>
      </c>
      <c r="BF35" s="27">
        <f>'DANH MUC HUYEN'!BG953</f>
        <v>0</v>
      </c>
      <c r="BG35" s="27">
        <f>'DANH MUC HUYEN'!BH953</f>
        <v>0</v>
      </c>
      <c r="BH35" s="27"/>
      <c r="BI35" s="27"/>
      <c r="BJ35" s="27"/>
      <c r="BK35" s="27"/>
    </row>
    <row r="36" spans="1:63" s="31" customFormat="1" ht="17.399999999999999" x14ac:dyDescent="0.3">
      <c r="A36" s="29" t="str">
        <f>'DANH MUC HUYEN'!A971</f>
        <v>T</v>
      </c>
      <c r="B36" s="29" t="str">
        <f>'DANH MUC HUYEN'!B971</f>
        <v>TỔNG</v>
      </c>
      <c r="C36" s="29">
        <f>'DANH MUC HUYEN'!C971</f>
        <v>0</v>
      </c>
      <c r="D36" s="29">
        <f>'DANH MUC HUYEN'!D971</f>
        <v>8338.991</v>
      </c>
      <c r="E36" s="29">
        <f>'DANH MUC HUYEN'!E971</f>
        <v>424.49</v>
      </c>
      <c r="F36" s="34">
        <f>'DANH MUC HUYEN'!F971</f>
        <v>7914.4999999999991</v>
      </c>
      <c r="G36" s="34">
        <f>'DANH MUC HUYEN'!G971</f>
        <v>3200.0200000000009</v>
      </c>
      <c r="H36" s="34">
        <f>'DANH MUC HUYEN'!H971</f>
        <v>559.22</v>
      </c>
      <c r="I36" s="34">
        <f>'DANH MUC HUYEN'!I971</f>
        <v>0</v>
      </c>
      <c r="J36" s="34">
        <f>'DANH MUC HUYEN'!J971</f>
        <v>4146.76</v>
      </c>
      <c r="K36" s="29"/>
      <c r="L36" s="29"/>
      <c r="M36" s="29"/>
      <c r="N36" s="29"/>
      <c r="O36" s="30">
        <f>'DANH MUC HUYEN'!P971</f>
        <v>151.47</v>
      </c>
      <c r="P36" s="30">
        <f>'DANH MUC HUYEN'!Q971</f>
        <v>373.85</v>
      </c>
      <c r="Q36" s="29">
        <f>'DANH MUC HUYEN'!R971</f>
        <v>11.45</v>
      </c>
      <c r="R36" s="29">
        <f>'DANH MUC HUYEN'!S971</f>
        <v>0</v>
      </c>
      <c r="S36" s="29">
        <f>'DANH MUC HUYEN'!T971</f>
        <v>0</v>
      </c>
      <c r="T36" s="29">
        <f>'DANH MUC HUYEN'!U971</f>
        <v>0</v>
      </c>
      <c r="U36" s="29">
        <f>'DANH MUC HUYEN'!V971</f>
        <v>0.14000000000000001</v>
      </c>
      <c r="V36" s="29">
        <f>'DANH MUC HUYEN'!W971</f>
        <v>39.44</v>
      </c>
      <c r="W36" s="29">
        <f>'DANH MUC HUYEN'!X971</f>
        <v>973.22000000000014</v>
      </c>
      <c r="X36" s="29">
        <f>'DANH MUC HUYEN'!Y971</f>
        <v>19.52</v>
      </c>
      <c r="Y36" s="29">
        <f>'DANH MUC HUYEN'!Z971</f>
        <v>573.91000000000008</v>
      </c>
      <c r="Z36" s="29">
        <f>'DANH MUC HUYEN'!AA971</f>
        <v>235.85</v>
      </c>
      <c r="AA36" s="29">
        <f>'DANH MUC HUYEN'!AB971</f>
        <v>445.89</v>
      </c>
      <c r="AB36" s="29">
        <f>'DANH MUC HUYEN'!AC971</f>
        <v>24.5</v>
      </c>
      <c r="AC36" s="29">
        <f>'DANH MUC HUYEN'!AD971</f>
        <v>103.64</v>
      </c>
      <c r="AD36" s="29">
        <f>'DANH MUC HUYEN'!AE971</f>
        <v>163.82999999999998</v>
      </c>
      <c r="AE36" s="29">
        <f>'DANH MUC HUYEN'!AF971</f>
        <v>9.14</v>
      </c>
      <c r="AF36" s="29">
        <f>'DANH MUC HUYEN'!AG971</f>
        <v>3.65</v>
      </c>
      <c r="AG36" s="29">
        <f>'DANH MUC HUYEN'!AH971</f>
        <v>0.06</v>
      </c>
      <c r="AH36" s="29">
        <f>'DANH MUC HUYEN'!AI971</f>
        <v>0</v>
      </c>
      <c r="AI36" s="29">
        <f>'DANH MUC HUYEN'!AJ971</f>
        <v>0</v>
      </c>
      <c r="AJ36" s="29">
        <f>'DANH MUC HUYEN'!AK971</f>
        <v>0.1</v>
      </c>
      <c r="AK36" s="29">
        <f>'DANH MUC HUYEN'!AL971</f>
        <v>0</v>
      </c>
      <c r="AL36" s="29">
        <f>'DANH MUC HUYEN'!AM971</f>
        <v>1.1499999999999999</v>
      </c>
      <c r="AM36" s="29">
        <f>'DANH MUC HUYEN'!AN971</f>
        <v>1.27</v>
      </c>
      <c r="AN36" s="29">
        <f>'DANH MUC HUYEN'!AO971</f>
        <v>14.209999999999999</v>
      </c>
      <c r="AO36" s="29">
        <f>'DANH MUC HUYEN'!AP971</f>
        <v>0</v>
      </c>
      <c r="AP36" s="29">
        <f>'DANH MUC HUYEN'!AQ971</f>
        <v>152.13</v>
      </c>
      <c r="AQ36" s="29">
        <f>'DANH MUC HUYEN'!AR971</f>
        <v>110.18</v>
      </c>
      <c r="AR36" s="29">
        <f>'DANH MUC HUYEN'!AS971</f>
        <v>0</v>
      </c>
      <c r="AS36" s="29">
        <f>'DANH MUC HUYEN'!AT971</f>
        <v>0.17</v>
      </c>
      <c r="AT36" s="29">
        <f>'DANH MUC HUYEN'!AU971</f>
        <v>0</v>
      </c>
      <c r="AU36" s="29">
        <f>'DANH MUC HUYEN'!AV971</f>
        <v>0.53</v>
      </c>
      <c r="AV36" s="29">
        <f>'DANH MUC HUYEN'!AW971</f>
        <v>3.4800000000000009</v>
      </c>
      <c r="AW36" s="29">
        <f>'DANH MUC HUYEN'!AX971</f>
        <v>0</v>
      </c>
      <c r="AX36" s="29">
        <f>'DANH MUC HUYEN'!AY971</f>
        <v>0</v>
      </c>
      <c r="AY36" s="29">
        <f>'DANH MUC HUYEN'!AZ971</f>
        <v>1.07</v>
      </c>
      <c r="AZ36" s="29">
        <f>'DANH MUC HUYEN'!BA971</f>
        <v>1.67</v>
      </c>
      <c r="BA36" s="29">
        <f>'DANH MUC HUYEN'!BB971</f>
        <v>31.56</v>
      </c>
      <c r="BB36" s="29">
        <f>'DANH MUC HUYEN'!BC971</f>
        <v>209.86999999999998</v>
      </c>
      <c r="BC36" s="29">
        <f>'DANH MUC HUYEN'!BD971</f>
        <v>207.24999999999997</v>
      </c>
      <c r="BD36" s="29">
        <f>'DANH MUC HUYEN'!BE971</f>
        <v>809.99999999999989</v>
      </c>
      <c r="BE36" s="29">
        <f>'DANH MUC HUYEN'!BF971</f>
        <v>1.1299999999999999</v>
      </c>
      <c r="BF36" s="29">
        <f>'DANH MUC HUYEN'!BG971</f>
        <v>8.9</v>
      </c>
      <c r="BG36" s="29">
        <f>'DANH MUC HUYEN'!BH971</f>
        <v>4.7</v>
      </c>
      <c r="BH36" s="29"/>
      <c r="BI36" s="29"/>
      <c r="BJ36" s="29"/>
      <c r="BK36" s="29"/>
    </row>
  </sheetData>
  <mergeCells count="13">
    <mergeCell ref="K2:K3"/>
    <mergeCell ref="A2:A3"/>
    <mergeCell ref="B2:B3"/>
    <mergeCell ref="C2:C3"/>
    <mergeCell ref="D2:F2"/>
    <mergeCell ref="G2:J2"/>
    <mergeCell ref="BK2:BK3"/>
    <mergeCell ref="L2:L3"/>
    <mergeCell ref="M2:M3"/>
    <mergeCell ref="N2:N3"/>
    <mergeCell ref="BH2:BH3"/>
    <mergeCell ref="BI2:BI3"/>
    <mergeCell ref="BJ2:BJ3"/>
  </mergeCell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2"/>
  <sheetViews>
    <sheetView topLeftCell="A10" zoomScale="85" zoomScaleNormal="85" workbookViewId="0">
      <selection activeCell="K6" sqref="K6"/>
    </sheetView>
  </sheetViews>
  <sheetFormatPr defaultRowHeight="14.4" x14ac:dyDescent="0.3"/>
  <cols>
    <col min="1" max="1" width="17.88671875" customWidth="1"/>
    <col min="2" max="2" width="32.88671875" customWidth="1"/>
    <col min="11" max="11" width="30.6640625" customWidth="1"/>
    <col min="12" max="12" width="21.109375" customWidth="1"/>
    <col min="15" max="15" width="18.6640625" customWidth="1"/>
  </cols>
  <sheetData>
    <row r="3" spans="1:15" ht="15.6" x14ac:dyDescent="0.3">
      <c r="A3" s="215" t="s">
        <v>449</v>
      </c>
      <c r="B3" s="215" t="s">
        <v>0</v>
      </c>
      <c r="C3" s="215" t="s">
        <v>1</v>
      </c>
      <c r="D3" s="215" t="s">
        <v>2</v>
      </c>
      <c r="E3" s="215"/>
      <c r="F3" s="215"/>
      <c r="G3" s="215" t="s">
        <v>3</v>
      </c>
      <c r="H3" s="215"/>
      <c r="I3" s="215"/>
      <c r="J3" s="215"/>
      <c r="K3" s="215" t="s">
        <v>4</v>
      </c>
      <c r="L3" s="215" t="s">
        <v>5</v>
      </c>
      <c r="M3" s="51"/>
      <c r="N3" s="51"/>
      <c r="O3" s="51"/>
    </row>
    <row r="4" spans="1:15" ht="62.4" x14ac:dyDescent="0.3">
      <c r="A4" s="215"/>
      <c r="B4" s="215"/>
      <c r="C4" s="215"/>
      <c r="D4" s="45" t="s">
        <v>8</v>
      </c>
      <c r="E4" s="45" t="s">
        <v>9</v>
      </c>
      <c r="F4" s="45" t="s">
        <v>10</v>
      </c>
      <c r="G4" s="46" t="s">
        <v>11</v>
      </c>
      <c r="H4" s="46" t="s">
        <v>14</v>
      </c>
      <c r="I4" s="47" t="s">
        <v>12</v>
      </c>
      <c r="J4" s="46" t="s">
        <v>13</v>
      </c>
      <c r="K4" s="215"/>
      <c r="L4" s="215"/>
      <c r="M4" s="51"/>
      <c r="N4" s="51"/>
      <c r="O4" s="51"/>
    </row>
    <row r="5" spans="1:15" ht="78" x14ac:dyDescent="0.35">
      <c r="A5" s="52">
        <v>1</v>
      </c>
      <c r="B5" s="42" t="s">
        <v>821</v>
      </c>
      <c r="C5" s="43" t="s">
        <v>56</v>
      </c>
      <c r="D5" s="41">
        <v>293</v>
      </c>
      <c r="E5" s="41"/>
      <c r="F5" s="41">
        <v>293</v>
      </c>
      <c r="G5" s="41"/>
      <c r="H5" s="41">
        <v>20.77</v>
      </c>
      <c r="I5" s="41"/>
      <c r="J5" s="41">
        <v>272.23</v>
      </c>
      <c r="K5" s="42" t="s">
        <v>822</v>
      </c>
      <c r="L5" s="42" t="s">
        <v>822</v>
      </c>
      <c r="M5" s="51"/>
      <c r="N5" s="51"/>
      <c r="O5" s="51"/>
    </row>
    <row r="6" spans="1:15" ht="141.75" customHeight="1" x14ac:dyDescent="0.3">
      <c r="A6" s="224" t="s">
        <v>1094</v>
      </c>
      <c r="B6" s="42" t="s">
        <v>358</v>
      </c>
      <c r="C6" s="48" t="s">
        <v>56</v>
      </c>
      <c r="D6" s="39">
        <v>34.72</v>
      </c>
      <c r="E6" s="39"/>
      <c r="F6" s="39">
        <v>34.72</v>
      </c>
      <c r="G6" s="39"/>
      <c r="H6" s="39">
        <v>9.1599999999999984</v>
      </c>
      <c r="I6" s="39">
        <v>0</v>
      </c>
      <c r="J6" s="39">
        <v>25.560000000000002</v>
      </c>
      <c r="K6" s="42" t="s">
        <v>357</v>
      </c>
      <c r="L6" s="42" t="s">
        <v>347</v>
      </c>
      <c r="M6" s="44">
        <v>17</v>
      </c>
      <c r="N6" s="44">
        <v>186</v>
      </c>
      <c r="O6" s="44"/>
    </row>
    <row r="7" spans="1:15" ht="46.8" x14ac:dyDescent="0.3">
      <c r="A7" s="224"/>
      <c r="B7" s="42" t="s">
        <v>359</v>
      </c>
      <c r="C7" s="48" t="s">
        <v>56</v>
      </c>
      <c r="D7" s="39">
        <v>20.53</v>
      </c>
      <c r="E7" s="39"/>
      <c r="F7" s="39">
        <v>20.53</v>
      </c>
      <c r="G7" s="39">
        <v>6.8</v>
      </c>
      <c r="H7" s="39"/>
      <c r="I7" s="39"/>
      <c r="J7" s="39">
        <v>13.73</v>
      </c>
      <c r="K7" s="42" t="s">
        <v>356</v>
      </c>
      <c r="L7" s="42" t="s">
        <v>347</v>
      </c>
      <c r="M7" s="44">
        <v>18</v>
      </c>
      <c r="N7" s="44">
        <v>187</v>
      </c>
      <c r="O7" s="49" t="s">
        <v>1066</v>
      </c>
    </row>
    <row r="8" spans="1:15" ht="15.6" x14ac:dyDescent="0.3">
      <c r="A8" s="224"/>
      <c r="B8" s="50" t="s">
        <v>306</v>
      </c>
      <c r="C8" s="48" t="s">
        <v>29</v>
      </c>
      <c r="D8" s="39">
        <v>26.47</v>
      </c>
      <c r="E8" s="39"/>
      <c r="F8" s="39">
        <v>26.47</v>
      </c>
      <c r="G8" s="39"/>
      <c r="H8" s="39">
        <v>0.13</v>
      </c>
      <c r="I8" s="39"/>
      <c r="J8" s="39">
        <v>26.340000000000003</v>
      </c>
      <c r="K8" s="42" t="s">
        <v>357</v>
      </c>
      <c r="L8" s="42" t="s">
        <v>347</v>
      </c>
      <c r="M8" s="44">
        <v>16</v>
      </c>
      <c r="N8" s="44">
        <v>704</v>
      </c>
      <c r="O8" s="44"/>
    </row>
    <row r="9" spans="1:15" ht="15.6" x14ac:dyDescent="0.3">
      <c r="A9" s="224"/>
      <c r="B9" s="42" t="s">
        <v>360</v>
      </c>
      <c r="C9" s="48" t="s">
        <v>50</v>
      </c>
      <c r="D9" s="39">
        <v>0.55000000000000004</v>
      </c>
      <c r="E9" s="39">
        <v>0.05</v>
      </c>
      <c r="F9" s="39">
        <v>0.5</v>
      </c>
      <c r="G9" s="39"/>
      <c r="H9" s="39">
        <f>SUM(P14:R14)</f>
        <v>0</v>
      </c>
      <c r="I9" s="39"/>
      <c r="J9" s="39">
        <f>SUM(X14:BG14)</f>
        <v>0</v>
      </c>
      <c r="K9" s="42" t="s">
        <v>357</v>
      </c>
      <c r="L9" s="42" t="s">
        <v>347</v>
      </c>
      <c r="M9" s="44">
        <v>22</v>
      </c>
      <c r="N9" s="44">
        <v>499</v>
      </c>
      <c r="O9" s="44"/>
    </row>
    <row r="10" spans="1:15" ht="67.5" customHeight="1" x14ac:dyDescent="0.3">
      <c r="A10" s="224"/>
      <c r="B10" s="42" t="s">
        <v>555</v>
      </c>
      <c r="C10" s="48" t="s">
        <v>20</v>
      </c>
      <c r="D10" s="41">
        <v>10.5</v>
      </c>
      <c r="E10" s="41"/>
      <c r="F10" s="41">
        <v>10.5</v>
      </c>
      <c r="G10" s="41">
        <v>0</v>
      </c>
      <c r="H10" s="41"/>
      <c r="I10" s="39"/>
      <c r="J10" s="41">
        <v>10.5</v>
      </c>
      <c r="K10" s="42" t="s">
        <v>955</v>
      </c>
      <c r="L10" s="42" t="s">
        <v>93</v>
      </c>
      <c r="M10" s="43">
        <v>8</v>
      </c>
      <c r="N10" s="43">
        <v>12</v>
      </c>
      <c r="O10" s="43" t="s">
        <v>1067</v>
      </c>
    </row>
    <row r="11" spans="1:15" ht="18.75" customHeight="1" x14ac:dyDescent="0.3">
      <c r="A11" s="224"/>
      <c r="B11" s="42" t="s">
        <v>306</v>
      </c>
      <c r="C11" s="43" t="s">
        <v>29</v>
      </c>
      <c r="D11" s="41">
        <v>11</v>
      </c>
      <c r="E11" s="41"/>
      <c r="F11" s="41">
        <v>11</v>
      </c>
      <c r="G11" s="41">
        <v>0.91</v>
      </c>
      <c r="H11" s="41"/>
      <c r="I11" s="39"/>
      <c r="J11" s="41">
        <v>10.09</v>
      </c>
      <c r="K11" s="42" t="s">
        <v>1048</v>
      </c>
      <c r="L11" s="42" t="s">
        <v>93</v>
      </c>
      <c r="M11" s="43">
        <v>7</v>
      </c>
      <c r="N11" s="43">
        <v>592</v>
      </c>
      <c r="O11" s="43"/>
    </row>
    <row r="12" spans="1:15" ht="31.2" x14ac:dyDescent="0.3">
      <c r="A12" s="224"/>
      <c r="B12" s="42" t="s">
        <v>306</v>
      </c>
      <c r="C12" s="48" t="s">
        <v>29</v>
      </c>
      <c r="D12" s="39">
        <v>4.4000000000000004</v>
      </c>
      <c r="E12" s="39"/>
      <c r="F12" s="39">
        <v>4.4000000000000004</v>
      </c>
      <c r="G12" s="39"/>
      <c r="H12" s="40"/>
      <c r="I12" s="39"/>
      <c r="J12" s="39">
        <v>4.4000000000000004</v>
      </c>
      <c r="K12" s="42" t="s">
        <v>892</v>
      </c>
      <c r="L12" s="42" t="s">
        <v>93</v>
      </c>
      <c r="M12" s="48">
        <v>25</v>
      </c>
      <c r="N12" s="48">
        <v>597</v>
      </c>
      <c r="O12" s="51"/>
    </row>
    <row r="13" spans="1:15" ht="31.2" x14ac:dyDescent="0.35">
      <c r="A13" s="52">
        <v>2</v>
      </c>
      <c r="B13" s="42" t="s">
        <v>824</v>
      </c>
      <c r="C13" s="43" t="s">
        <v>56</v>
      </c>
      <c r="D13" s="41">
        <v>273</v>
      </c>
      <c r="E13" s="41"/>
      <c r="F13" s="41">
        <v>273</v>
      </c>
      <c r="G13" s="41"/>
      <c r="H13" s="41"/>
      <c r="I13" s="41"/>
      <c r="J13" s="41">
        <v>273</v>
      </c>
      <c r="K13" s="42" t="s">
        <v>822</v>
      </c>
      <c r="L13" s="42" t="s">
        <v>822</v>
      </c>
      <c r="M13" s="43"/>
      <c r="N13" s="43">
        <v>157</v>
      </c>
      <c r="O13" s="51"/>
    </row>
    <row r="14" spans="1:15" ht="78" x14ac:dyDescent="0.3">
      <c r="A14" s="224" t="s">
        <v>1095</v>
      </c>
      <c r="B14" s="42" t="s">
        <v>452</v>
      </c>
      <c r="C14" s="43" t="s">
        <v>24</v>
      </c>
      <c r="D14" s="41">
        <v>22.07</v>
      </c>
      <c r="E14" s="41"/>
      <c r="F14" s="41">
        <v>22.07</v>
      </c>
      <c r="G14" s="39"/>
      <c r="H14" s="39"/>
      <c r="I14" s="39"/>
      <c r="J14" s="39">
        <v>22.07</v>
      </c>
      <c r="K14" s="42" t="s">
        <v>950</v>
      </c>
      <c r="L14" s="42" t="s">
        <v>280</v>
      </c>
      <c r="M14" s="43">
        <v>16</v>
      </c>
      <c r="N14" s="43">
        <v>5</v>
      </c>
      <c r="O14" s="43"/>
    </row>
    <row r="15" spans="1:15" ht="15.6" x14ac:dyDescent="0.3">
      <c r="A15" s="224"/>
      <c r="B15" s="42" t="s">
        <v>283</v>
      </c>
      <c r="C15" s="48" t="s">
        <v>28</v>
      </c>
      <c r="D15" s="39">
        <v>10.7</v>
      </c>
      <c r="E15" s="39"/>
      <c r="F15" s="39">
        <v>10.7</v>
      </c>
      <c r="G15" s="39">
        <v>3.84</v>
      </c>
      <c r="H15" s="39"/>
      <c r="I15" s="39"/>
      <c r="J15" s="39">
        <v>6.86</v>
      </c>
      <c r="K15" s="42" t="s">
        <v>968</v>
      </c>
      <c r="L15" s="42" t="s">
        <v>280</v>
      </c>
      <c r="M15" s="48">
        <v>21</v>
      </c>
      <c r="N15" s="48">
        <v>81</v>
      </c>
      <c r="O15" s="48"/>
    </row>
    <row r="16" spans="1:15" ht="15.6" x14ac:dyDescent="0.3">
      <c r="A16" s="224"/>
      <c r="B16" s="42" t="s">
        <v>283</v>
      </c>
      <c r="C16" s="48" t="s">
        <v>28</v>
      </c>
      <c r="D16" s="39">
        <v>10.85</v>
      </c>
      <c r="E16" s="39"/>
      <c r="F16" s="39">
        <v>10.85</v>
      </c>
      <c r="G16" s="39"/>
      <c r="H16" s="39"/>
      <c r="I16" s="39"/>
      <c r="J16" s="39">
        <v>10.85</v>
      </c>
      <c r="K16" s="42" t="s">
        <v>972</v>
      </c>
      <c r="L16" s="42" t="s">
        <v>280</v>
      </c>
      <c r="M16" s="48">
        <v>22</v>
      </c>
      <c r="N16" s="48">
        <v>82</v>
      </c>
      <c r="O16" s="48"/>
    </row>
    <row r="17" spans="1:15" ht="15.6" x14ac:dyDescent="0.3">
      <c r="A17" s="224"/>
      <c r="B17" s="42" t="s">
        <v>281</v>
      </c>
      <c r="C17" s="48" t="s">
        <v>32</v>
      </c>
      <c r="D17" s="41">
        <v>0.4</v>
      </c>
      <c r="E17" s="41"/>
      <c r="F17" s="41">
        <v>0.4</v>
      </c>
      <c r="G17" s="39"/>
      <c r="H17" s="39"/>
      <c r="I17" s="39"/>
      <c r="J17" s="39">
        <v>0.4</v>
      </c>
      <c r="K17" s="42" t="s">
        <v>949</v>
      </c>
      <c r="L17" s="42" t="s">
        <v>280</v>
      </c>
      <c r="M17" s="48">
        <v>4</v>
      </c>
      <c r="N17" s="48">
        <v>109</v>
      </c>
      <c r="O17" s="48"/>
    </row>
    <row r="18" spans="1:15" ht="46.8" x14ac:dyDescent="0.3">
      <c r="A18" s="224"/>
      <c r="B18" s="50" t="s">
        <v>306</v>
      </c>
      <c r="C18" s="48" t="s">
        <v>29</v>
      </c>
      <c r="D18" s="39">
        <v>7.54</v>
      </c>
      <c r="E18" s="39"/>
      <c r="F18" s="39">
        <v>7.54</v>
      </c>
      <c r="G18" s="39"/>
      <c r="H18" s="39"/>
      <c r="I18" s="39"/>
      <c r="J18" s="39">
        <v>7.54</v>
      </c>
      <c r="K18" s="42" t="s">
        <v>1004</v>
      </c>
      <c r="L18" s="42" t="s">
        <v>280</v>
      </c>
      <c r="M18" s="48">
        <v>8</v>
      </c>
      <c r="N18" s="48">
        <v>683</v>
      </c>
      <c r="O18" s="43" t="s">
        <v>1068</v>
      </c>
    </row>
    <row r="22" spans="1:15" ht="15.6" x14ac:dyDescent="0.3">
      <c r="O22" s="18"/>
    </row>
  </sheetData>
  <mergeCells count="9">
    <mergeCell ref="L3:L4"/>
    <mergeCell ref="A14:A18"/>
    <mergeCell ref="A6:A12"/>
    <mergeCell ref="A3:A4"/>
    <mergeCell ref="B3:B4"/>
    <mergeCell ref="C3:C4"/>
    <mergeCell ref="D3:F3"/>
    <mergeCell ref="G3:J3"/>
    <mergeCell ref="K3: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DANH MUC HUYEN</vt:lpstr>
      <vt:lpstr>DIEN TICH</vt:lpstr>
      <vt:lpstr>MADALA TRUNG QH XA</vt:lpstr>
      <vt:lpstr>'DANH MUC HUYEN'!Print_Titles</vt:lpstr>
    </vt:vector>
  </TitlesOfParts>
  <Company>Truong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Vanxuan</cp:lastModifiedBy>
  <cp:lastPrinted>2021-07-05T00:34:07Z</cp:lastPrinted>
  <dcterms:created xsi:type="dcterms:W3CDTF">2021-07-04T00:51:54Z</dcterms:created>
  <dcterms:modified xsi:type="dcterms:W3CDTF">2021-09-06T02:30:21Z</dcterms:modified>
</cp:coreProperties>
</file>